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ahbjei\AppData\Roaming\ELO Digital Office\PRD-HBD_ELO_DM01\422\checkout\"/>
    </mc:Choice>
  </mc:AlternateContent>
  <bookViews>
    <workbookView xWindow="-15" yWindow="45" windowWidth="21840" windowHeight="6195" tabRatio="834" firstSheet="7" activeTab="7"/>
  </bookViews>
  <sheets>
    <sheet name="Drucken" sheetId="11" r:id="rId1"/>
    <sheet name="Eingabe" sheetId="1" state="hidden" r:id="rId2"/>
    <sheet name="Eingabe-Beschrieb" sheetId="8" state="hidden" r:id="rId3"/>
    <sheet name="Kostenentwicklung" sheetId="2" state="hidden" r:id="rId4"/>
    <sheet name="KE-Graphik" sheetId="13" state="hidden" r:id="rId5"/>
    <sheet name="Benchmarkvergleich" sheetId="3" state="hidden" r:id="rId6"/>
    <sheet name="Auswertung" sheetId="4" state="hidden" r:id="rId7"/>
    <sheet name="Baukostenkennwerte" sheetId="6" r:id="rId8"/>
    <sheet name="Baukostenkenn. mit Teur." sheetId="7" r:id="rId9"/>
    <sheet name="Index" sheetId="5" r:id="rId10"/>
    <sheet name="Tabelle1" sheetId="12" state="hidden" r:id="rId11"/>
    <sheet name="Drop Down Menü" sheetId="10" state="hidden" r:id="rId12"/>
  </sheets>
  <definedNames>
    <definedName name="B8_04_1ALBS">'Eingabe-Beschrieb'!$G$10</definedName>
    <definedName name="B8_04_1ASAT">'Eingabe-Beschrieb'!$G$23</definedName>
    <definedName name="B8_04_1ASBT">'Eingabe-Beschrieb'!$G$22</definedName>
    <definedName name="B8_04_1AUKB">Eingabe!$G$80</definedName>
    <definedName name="B8_04_1BAAG">Eingabe!$G$84</definedName>
    <definedName name="B8_04_1BAKO">Eingabe!$G$78</definedName>
    <definedName name="B8_04_1BAUGT">'Eingabe-Beschrieb'!$G$11</definedName>
    <definedName name="B8_04_1BEAU">Eingabe!$G$76</definedName>
    <definedName name="B8_04_1BEDI">Eingabe!$G$97</definedName>
    <definedName name="B8_04_1BEST">Eingabe!$G$98</definedName>
    <definedName name="B8_04_1BURO">Eingabe!$G$17</definedName>
    <definedName name="B8_04_1BUUK">Eingabe!$G$20</definedName>
    <definedName name="B8_04_1DAPRO">Eingabe!$G$10</definedName>
    <definedName name="B8_04_1DIFF">Eingabe!$G$96</definedName>
    <definedName name="B8_04_1EING">Eingabe!$G$6</definedName>
    <definedName name="B8_04_1EIRI">Eingabe!$G$102</definedName>
    <definedName name="B8_04_1EKFE2">Eingabe!$G$88</definedName>
    <definedName name="B8_04_1EKFE3">Eingabe!$G$89</definedName>
    <definedName name="B8_04_1EKFE4">Eingabe!$G$90</definedName>
    <definedName name="B8_04_1EKTG">Eingabe!$G$87</definedName>
    <definedName name="B8_04_1ELAN">'Eingabe-Beschrieb'!$G$14</definedName>
    <definedName name="B8_04_1ENST">Eingabe!$G$7</definedName>
    <definedName name="B8_04_1ERIN">Eingabe!$G$83</definedName>
    <definedName name="B8_04_1ERKO">Eingabe!$G$82</definedName>
    <definedName name="B8_04_1FUE2">Eingabe!$G$24</definedName>
    <definedName name="B8_04_1FUE2HNF">Eingabe!$G$25</definedName>
    <definedName name="B8_04_1FUE3">Eingabe!$G$26</definedName>
    <definedName name="B8_04_1FUE3HNF">Eingabe!$G$27</definedName>
    <definedName name="B8_04_1FUE4">Eingabe!$G$28</definedName>
    <definedName name="B8_04_1FUE4HNF">Eingabe!$G$29</definedName>
    <definedName name="B8_04_1FUEI">Eingabe!$G$23</definedName>
    <definedName name="B8_04_1GEBA">Eingabe!$G$5</definedName>
    <definedName name="B8_04_1GEDE">Eingabe!$G$61</definedName>
    <definedName name="B8_04_1GEGB">Eingabe!$G$34</definedName>
    <definedName name="B8_04_1GEGE">Eingabe!$G$32</definedName>
    <definedName name="B8_04_1GETI">Eingabe!$G$33</definedName>
    <definedName name="B8_04_1GEVO">Eingabe!$G$35</definedName>
    <definedName name="B8_04_1GRFL">Eingabe!$G$36</definedName>
    <definedName name="B8_04_1HEPF">Eingabe!$G$21</definedName>
    <definedName name="B8_04_1HLKA">'Eingabe-Beschrieb'!$G$17</definedName>
    <definedName name="B8_04_1HORE">'Eingabe-Beschrieb'!$G$24</definedName>
    <definedName name="B8_04_1KAEN">'Eingabe-Beschrieb'!$G$25</definedName>
    <definedName name="B8_04_1KLEN">'Eingabe-Beschrieb'!$G$19</definedName>
    <definedName name="B8_04_1KOEX">Eingabe!$G$103</definedName>
    <definedName name="B8_04_1KOIN">Eingabe!$G$11</definedName>
    <definedName name="B8_04_1KOKO">Eingabe!$G$104</definedName>
    <definedName name="B8_04_1LAVV">Eingabe!$G$19</definedName>
    <definedName name="B8_04_1MAUE">Eingabe!$G$79</definedName>
    <definedName name="B8_04_1MFSTZH">Eingabe!$G$41</definedName>
    <definedName name="B8_04_1PHAM">Eingabe!$G$18</definedName>
    <definedName name="B8_04_1POPO">Eingabe!$G$99</definedName>
    <definedName name="B8_04_1POSA">Eingabe!$G$100</definedName>
    <definedName name="B8_04_1PROA">Eingabe!$G$101</definedName>
    <definedName name="B8_04_1PROV">Eingabe!$G$60</definedName>
    <definedName name="B8_04_1ROAT">'Eingabe-Beschrieb'!$G$13</definedName>
    <definedName name="B8_04_1ROBT">'Eingabe-Beschrieb'!$G$12</definedName>
    <definedName name="B8_04_1SANI">'Eingabe-Beschrieb'!$G$18</definedName>
    <definedName name="B8_04_1SANK">'Eingabe-Beschrieb'!$G$20</definedName>
    <definedName name="B8_04_1SOGR">Eingabe!$G$105</definedName>
    <definedName name="B8_04_1TEILPHASE">Eingabe!$G$3</definedName>
    <definedName name="B8_04_1TEUR">Eingabe!$G$106</definedName>
    <definedName name="B8_04_1TFEI">Eingabe!$G$15</definedName>
    <definedName name="B8_04_1TGEH">Eingabe!$G$31</definedName>
    <definedName name="B8_04_1TREN">'Eingabe-Beschrieb'!$G$21</definedName>
    <definedName name="B8_04_1UMBU">Eingabe!$G$77</definedName>
    <definedName name="B8_04_1VAUKB">Index!$N$10</definedName>
    <definedName name="B8_04_1VAUOB">Index!$J$62</definedName>
    <definedName name="B8_04_1VBAAG">Index!$N$12</definedName>
    <definedName name="B8_04_1VBAKO">Index!$N$8</definedName>
    <definedName name="B8_04_1VBEAU">Index!$N$6</definedName>
    <definedName name="B8_04_1VBKFE">Index!$N$25</definedName>
    <definedName name="B8_04_1VBKGF">Index!$N$27</definedName>
    <definedName name="B8_04_1VBKGV">Index!$N$28</definedName>
    <definedName name="B8_04_1VBKPE">Index!$N$30</definedName>
    <definedName name="B8_04_1VBKPF">Index!$N$31</definedName>
    <definedName name="B8_04_1VBKPG">Index!$N$32</definedName>
    <definedName name="B8_04_1VBKPV">Index!$N$33</definedName>
    <definedName name="B8_04_1VBOPL">Index!$J$54</definedName>
    <definedName name="B8_04_1VDACT">Index!$J$58</definedName>
    <definedName name="B8_04_1VERIN">Index!$N$11</definedName>
    <definedName name="B8_04_1VERKO">Index!$N$3</definedName>
    <definedName name="B8_04_1VFAUT">Index!$J$60</definedName>
    <definedName name="B8_04_1VFUE2">Index!$N$16</definedName>
    <definedName name="B8_04_1VFUE234">Index!$N$19</definedName>
    <definedName name="B8_04_1VFUE3">Index!$N$17</definedName>
    <definedName name="B8_04_1VFUE4">Index!$N$18</definedName>
    <definedName name="B8_04_1VFUEI">Index!$N$15</definedName>
    <definedName name="B8_04_1VGEDE">Index!$N$5</definedName>
    <definedName name="B8_04_1VGEGE">Index!$N$22</definedName>
    <definedName name="B8_04_1VGEVO">Index!$N$23</definedName>
    <definedName name="B8_04_1VKOIN">Benchmarkvergleich!$I$8</definedName>
    <definedName name="B8_04_1VMAUE">Index!$N$9</definedName>
    <definedName name="B8_04_1VOAR">Eingabe!$G$59</definedName>
    <definedName name="B8_04_1VPM1">Index!$N$35</definedName>
    <definedName name="B8_04_1VPM2">Index!$N$36</definedName>
    <definedName name="B8_04_1VPM3">Index!$N$37</definedName>
    <definedName name="B8_04_1VPM4">Index!$N$39</definedName>
    <definedName name="B8_04_1VPM5">Index!$N$42</definedName>
    <definedName name="B8_04_1VPM6">Index!$N$43</definedName>
    <definedName name="B8_04_1VPM7">Index!$N$44</definedName>
    <definedName name="B8_04_1VPROV">Index!$T$9</definedName>
    <definedName name="B8_04_1VTAUF">Index!$I$50</definedName>
    <definedName name="B8_04_1VTFEI">Index!$N$20</definedName>
    <definedName name="B8_04_1VTGEH">Index!$N$21</definedName>
    <definedName name="B8_04_1VUMBU">Index!$N$7</definedName>
    <definedName name="B8_04_1VVOAR">Index!$N$4</definedName>
    <definedName name="B8_04_1WAGU">'Eingabe-Beschrieb'!$G$15</definedName>
    <definedName name="B8_04_1WATG">'Eingabe-Beschrieb'!$G$16</definedName>
    <definedName name="B8_04_1WBFP">Eingabe!$G$56</definedName>
    <definedName name="B8_04_1WINF">'Eingabe-Beschrieb'!$G$26</definedName>
    <definedName name="B8_04_1WOAU">Eingabe!$G$16</definedName>
    <definedName name="B8_04_2ALBS">'Eingabe-Beschrieb'!$G$28</definedName>
    <definedName name="B8_04_2ASAT">'Eingabe-Beschrieb'!$G$41</definedName>
    <definedName name="B8_04_2ASBT">'Eingabe-Beschrieb'!$G$40</definedName>
    <definedName name="B8_04_2AUFL">Eingabe!$H$39</definedName>
    <definedName name="B8_04_2AUKB">Eingabe!$H$80</definedName>
    <definedName name="B8_04_2AUOB">Eingabe!$H$46</definedName>
    <definedName name="B8_04_2AUUN">Eingabe!$H$45</definedName>
    <definedName name="B8_04_2BAAG">Eingabe!$H$84</definedName>
    <definedName name="B8_04_2BAKO">Eingabe!$H$78</definedName>
    <definedName name="B8_04_2BAUGT">'Eingabe-Beschrieb'!$G$29</definedName>
    <definedName name="B8_04_2BEAU">Eingabe!$H$76</definedName>
    <definedName name="B8_04_2BEDI">Eingabe!$H$97</definedName>
    <definedName name="B8_04_2BEST">Eingabe!$H$98</definedName>
    <definedName name="B8_04_2BEUM">Eingabe!$H$38</definedName>
    <definedName name="B8_04_2BOPL">Eingabe!$H$43</definedName>
    <definedName name="B8_04_2BURO">Eingabe!$H$17</definedName>
    <definedName name="B8_04_2BUUK">Eingabe!$H$20</definedName>
    <definedName name="B8_04_2DACT">Eingabe!$H$48</definedName>
    <definedName name="B8_04_2DAOB">Eingabe!$H$50</definedName>
    <definedName name="B8_04_2DAPRO">Eingabe!$H$10</definedName>
    <definedName name="B8_04_2DAUN">Eingabe!$H$49</definedName>
    <definedName name="B8_04_2DIFF">Eingabe!$H$96</definedName>
    <definedName name="B8_04_2EING">Eingabe!$H$6</definedName>
    <definedName name="B8_04_2EIRI">Eingabe!$H$102</definedName>
    <definedName name="B8_04_2EKFE2">Eingabe!$H$88</definedName>
    <definedName name="B8_04_2EKFE3">Eingabe!$H$89</definedName>
    <definedName name="B8_04_2EKFE4">Eingabe!$H$90</definedName>
    <definedName name="B8_04_2EKTG">Eingabe!$H$87</definedName>
    <definedName name="B8_04_2ELAN">'Eingabe-Beschrieb'!$G$32</definedName>
    <definedName name="B8_04_2ENFL">Eingabe!$H$51</definedName>
    <definedName name="B8_04_2ENST">Eingabe!$H$7</definedName>
    <definedName name="B8_04_2ERIN">Eingabe!$H$83</definedName>
    <definedName name="B8_04_2ERKO">Eingabe!$H$82</definedName>
    <definedName name="B8_04_2FAUT">Eingabe!$H$47</definedName>
    <definedName name="B8_04_2FUE2">Eingabe!$H$24</definedName>
    <definedName name="B8_04_2FUE2HNF">Eingabe!$H$25</definedName>
    <definedName name="B8_04_2FUE3">Eingabe!$H$26</definedName>
    <definedName name="B8_04_2FUE3HNF">Eingabe!$H$27</definedName>
    <definedName name="B8_04_2FUE4">Eingabe!$H$28</definedName>
    <definedName name="B8_04_2FUE4HNF">Eingabe!$H$29</definedName>
    <definedName name="B8_04_2FUEI">Eingabe!$H$23</definedName>
    <definedName name="B8_04_2GEBA">Eingabe!$H$5</definedName>
    <definedName name="B8_04_2GEDE">Eingabe!$H$61</definedName>
    <definedName name="B8_04_2GEGB">Eingabe!$H$34</definedName>
    <definedName name="B8_04_2GEGE">Eingabe!$H$32</definedName>
    <definedName name="B8_04_2GEGR">Eingabe!$H$37</definedName>
    <definedName name="B8_04_2GETI">Eingabe!$H$33</definedName>
    <definedName name="B8_04_2GEVO">Eingabe!$H$35</definedName>
    <definedName name="B8_04_2GRFL">Eingabe!$H$36</definedName>
    <definedName name="B8_04_2HEPF">Eingabe!$H$21</definedName>
    <definedName name="B8_04_2HLKA">'Eingabe-Beschrieb'!$G$35</definedName>
    <definedName name="B8_04_2HORE">'Eingabe-Beschrieb'!$G$42</definedName>
    <definedName name="B8_04_2KAEN">'Eingabe-Beschrieb'!$G$43</definedName>
    <definedName name="B8_04_2KLEN">'Eingabe-Beschrieb'!$G$37</definedName>
    <definedName name="B8_04_2KOEX">Eingabe!$H$103</definedName>
    <definedName name="B8_04_2KOIN">Eingabe!$H$11</definedName>
    <definedName name="B8_04_2KOKO">Eingabe!$H$104</definedName>
    <definedName name="B8_04_2LAVV">Eingabe!$H$19</definedName>
    <definedName name="B8_04_2MAUE">Eingabe!$H$79</definedName>
    <definedName name="B8_04_2MFSTZH">Eingabe!$H$41</definedName>
    <definedName name="B8_04_2PHAM">Eingabe!$H$18</definedName>
    <definedName name="B8_04_2POPO">Eingabe!$H$99</definedName>
    <definedName name="B8_04_2POSA">Eingabe!$H$100</definedName>
    <definedName name="B8_04_2PROA">Eingabe!$H$101</definedName>
    <definedName name="B8_04_2PROV">Eingabe!$H$60</definedName>
    <definedName name="B8_04_2ROAT">'Eingabe-Beschrieb'!$G$31</definedName>
    <definedName name="B8_04_2ROBT">'Eingabe-Beschrieb'!$G$30</definedName>
    <definedName name="B8_04_2SANI">'Eingabe-Beschrieb'!$G$36</definedName>
    <definedName name="B8_04_2SANK">'Eingabe-Beschrieb'!$G$38</definedName>
    <definedName name="B8_04_2SOGR">Eingabe!$H$105</definedName>
    <definedName name="B8_04_2TAUF">Eingabe!$H$44</definedName>
    <definedName name="B8_04_2TEILPHASE">Eingabe!$H$3</definedName>
    <definedName name="B8_04_2TEUR">Eingabe!$H$106</definedName>
    <definedName name="B8_04_2TFEI">Eingabe!$H$15</definedName>
    <definedName name="B8_04_2TGEH">Eingabe!$H$31</definedName>
    <definedName name="B8_04_2TREN">'Eingabe-Beschrieb'!$G$39</definedName>
    <definedName name="B8_04_2UMBU">Eingabe!$H$77</definedName>
    <definedName name="B8_04_2VAUKB">Index!$O$10</definedName>
    <definedName name="B8_04_2VAUOB">Index!$K$62</definedName>
    <definedName name="B8_04_2VBAAG">Index!$O$12</definedName>
    <definedName name="B8_04_2VBAKO">Index!$O$8</definedName>
    <definedName name="B8_04_2VBEAU">Index!$O$6</definedName>
    <definedName name="B8_04_2VBKFE">Index!$O$25</definedName>
    <definedName name="B8_04_2VBKGF">Index!$O$27</definedName>
    <definedName name="B8_04_2VBKGV">Index!$O$28</definedName>
    <definedName name="B8_04_2VBKPE">Index!$O$30</definedName>
    <definedName name="B8_04_2VBKPF">Index!$O$31</definedName>
    <definedName name="B8_04_2VBKPG">Index!$O$32</definedName>
    <definedName name="B8_04_2VBKPV">Index!$O$33</definedName>
    <definedName name="B8_04_2VBOPL">Index!$K$54</definedName>
    <definedName name="B8_04_2VDACT">Index!$K$58</definedName>
    <definedName name="B8_04_2VERIN">Index!$O$11</definedName>
    <definedName name="B8_04_2VERKO">Index!$O$3</definedName>
    <definedName name="B8_04_2VFAUT">Index!$K$60</definedName>
    <definedName name="B8_04_2VFUE2">Index!$O$16</definedName>
    <definedName name="B8_04_2VFUE234">Index!$O$19</definedName>
    <definedName name="B8_04_2VFUE3">Index!$O$17</definedName>
    <definedName name="B8_04_2VFUE4">Index!$O$18</definedName>
    <definedName name="B8_04_2VFUEI">Index!$O$15</definedName>
    <definedName name="B8_04_2VGEDE">Index!$O$5</definedName>
    <definedName name="B8_04_2VGEGE">Index!$O$22</definedName>
    <definedName name="B8_04_2VGEVO">Index!$O$23</definedName>
    <definedName name="B8_04_2VKOIN">Benchmarkvergleich!$K$8</definedName>
    <definedName name="B8_04_2VMAUE">Index!$O$9</definedName>
    <definedName name="B8_04_2VOAR">Eingabe!$H$59</definedName>
    <definedName name="B8_04_2VPM1">Index!$O$35</definedName>
    <definedName name="B8_04_2VPM2">Index!$O$36</definedName>
    <definedName name="B8_04_2VPM3">Index!$O$37</definedName>
    <definedName name="B8_04_2VPM4">Index!$O$39</definedName>
    <definedName name="B8_04_2VPM5">Index!$O$42</definedName>
    <definedName name="B8_04_2VPM6">Index!$O$43</definedName>
    <definedName name="B8_04_2VPM7">Index!$O$44</definedName>
    <definedName name="B8_04_2VPROV">Index!$U$9</definedName>
    <definedName name="B8_04_2VTAUF">Index!$J$50</definedName>
    <definedName name="B8_04_2VTFEI">Index!$O$20</definedName>
    <definedName name="B8_04_2VTGEH">Index!$O$21</definedName>
    <definedName name="B8_04_2VUMBU">Index!$O$7</definedName>
    <definedName name="B8_04_2VVOAR">Index!$O$4</definedName>
    <definedName name="B8_04_2WAGU">'Eingabe-Beschrieb'!$G$33</definedName>
    <definedName name="B8_04_2WATG">'Eingabe-Beschrieb'!$G$34</definedName>
    <definedName name="B8_04_2WBFP">Eingabe!$H$56</definedName>
    <definedName name="B8_04_2WINF">'Eingabe-Beschrieb'!$G$44</definedName>
    <definedName name="B8_04_2WOAU">Eingabe!$H$16</definedName>
    <definedName name="B8_04_2ZIEL">Eingabe!$H$94</definedName>
    <definedName name="B8_04_2ZIPH">Eingabe!$H$93</definedName>
    <definedName name="B8_04_3ALBS">'Eingabe-Beschrieb'!$G$46</definedName>
    <definedName name="B8_04_3ASAT">'Eingabe-Beschrieb'!$G$59</definedName>
    <definedName name="B8_04_3ASBT">'Eingabe-Beschrieb'!$G$58</definedName>
    <definedName name="B8_04_3AUKB">Eingabe!$I$80</definedName>
    <definedName name="B8_04_3BAAG">Eingabe!$I$84</definedName>
    <definedName name="B8_04_3BAKO">Eingabe!$I$78</definedName>
    <definedName name="B8_04_3BAUGT">'Eingabe-Beschrieb'!$G$47</definedName>
    <definedName name="B8_04_3BEAU">Eingabe!$I$76</definedName>
    <definedName name="B8_04_3BEDI">Eingabe!$I$97</definedName>
    <definedName name="B8_04_3BEST">Eingabe!$I$98</definedName>
    <definedName name="B8_04_3BKFE">Kostenentwicklung!$I$105</definedName>
    <definedName name="B8_04_3BKGF">Kostenentwicklung!$I$107</definedName>
    <definedName name="B8_04_3BKGV">Kostenentwicklung!$I$108</definedName>
    <definedName name="B8_04_3BKNF">Kostenentwicklung!$I$106</definedName>
    <definedName name="B8_04_3BKPE">Kostenentwicklung!$I$110</definedName>
    <definedName name="B8_04_3BKPF">Kostenentwicklung!$I$111</definedName>
    <definedName name="B8_04_3BKPG">Kostenentwicklung!$I$112</definedName>
    <definedName name="B8_04_3BKPV">Kostenentwicklung!$I$113</definedName>
    <definedName name="B8_04_3BURO">Eingabe!$I$17</definedName>
    <definedName name="B8_04_3BUUK">Eingabe!$I$20</definedName>
    <definedName name="B8_04_3DAPRO">Eingabe!$I$10</definedName>
    <definedName name="B8_04_3DIFF">Eingabe!$I$96</definedName>
    <definedName name="B8_04_3EING">Eingabe!$I$6</definedName>
    <definedName name="B8_04_3EIRI">Eingabe!$I$102</definedName>
    <definedName name="B8_04_3EKFE2">Eingabe!$I$88</definedName>
    <definedName name="B8_04_3EKFE3">Eingabe!$I$89</definedName>
    <definedName name="B8_04_3EKFE4">Eingabe!$I$90</definedName>
    <definedName name="B8_04_3EKTG">Eingabe!$I$87</definedName>
    <definedName name="B8_04_3ELAN">'Eingabe-Beschrieb'!$G$50</definedName>
    <definedName name="B8_04_3ENST">Eingabe!$I$7</definedName>
    <definedName name="B8_04_3ERIN">Eingabe!$I$83</definedName>
    <definedName name="B8_04_3ERKO">Eingabe!$I$82</definedName>
    <definedName name="B8_04_3FUE2">Eingabe!$I$24</definedName>
    <definedName name="B8_04_3FUE2HNF">Eingabe!$I$25</definedName>
    <definedName name="B8_04_3FUE3">Eingabe!$I$26</definedName>
    <definedName name="B8_04_3FUE3HNF">Eingabe!$I$27</definedName>
    <definedName name="B8_04_3FUE4">Eingabe!$I$28</definedName>
    <definedName name="B8_04_3FUE4HNF">Eingabe!$I$29</definedName>
    <definedName name="B8_04_3FUEI">Eingabe!$I$23</definedName>
    <definedName name="B8_04_3GEBA">Eingabe!$I$5</definedName>
    <definedName name="B8_04_3GEDE">Eingabe!$I$61</definedName>
    <definedName name="B8_04_3GEGB">Eingabe!$I$34</definedName>
    <definedName name="B8_04_3GEGE">Eingabe!$I$32</definedName>
    <definedName name="B8_04_3GETI">Eingabe!$I$33</definedName>
    <definedName name="B8_04_3GEVO">Eingabe!$I$35</definedName>
    <definedName name="B8_04_3GRFL">Eingabe!$I$36</definedName>
    <definedName name="B8_04_3HEPF">Eingabe!$I$21</definedName>
    <definedName name="B8_04_3HLKA">'Eingabe-Beschrieb'!$G$53</definedName>
    <definedName name="B8_04_3HORE">'Eingabe-Beschrieb'!$G$60</definedName>
    <definedName name="B8_04_3KAEN">'Eingabe-Beschrieb'!$G$61</definedName>
    <definedName name="B8_04_3KLEN">'Eingabe-Beschrieb'!$G$55</definedName>
    <definedName name="B8_04_3KOEX">Eingabe!$I$103</definedName>
    <definedName name="B8_04_3KOIN">Eingabe!$I$11</definedName>
    <definedName name="B8_04_3KOKO">Eingabe!$I$104</definedName>
    <definedName name="B8_04_3LAVV">Eingabe!$I$19</definedName>
    <definedName name="B8_04_3MAUE">Eingabe!$I$79</definedName>
    <definedName name="B8_04_3MFSTZH">Eingabe!$I$41</definedName>
    <definedName name="B8_04_3PHAM">Eingabe!$I$18</definedName>
    <definedName name="B8_04_3PM1">Kostenentwicklung!$I$116</definedName>
    <definedName name="B8_04_3PM2">Kostenentwicklung!$I$117</definedName>
    <definedName name="B8_04_3PM3">Kostenentwicklung!$I$118</definedName>
    <definedName name="B8_04_3PM4">Kostenentwicklung!$I$121</definedName>
    <definedName name="B8_04_3PM5">Index!$N$41</definedName>
    <definedName name="B8_04_3PM6">Kostenentwicklung!$I$126</definedName>
    <definedName name="B8_04_3PM7">Kostenentwicklung!$I$127</definedName>
    <definedName name="B8_04_3POPO">Eingabe!$I$99</definedName>
    <definedName name="B8_04_3POSA">Eingabe!$I$100</definedName>
    <definedName name="B8_04_3PROA">Eingabe!$I$101</definedName>
    <definedName name="B8_04_3PROV">Eingabe!$I$60</definedName>
    <definedName name="B8_04_3ROAT">'Eingabe-Beschrieb'!$G$49</definedName>
    <definedName name="B8_04_3ROBT">'Eingabe-Beschrieb'!$G$48</definedName>
    <definedName name="B8_04_3SANI">'Eingabe-Beschrieb'!$G$54</definedName>
    <definedName name="B8_04_3SANK">'Eingabe-Beschrieb'!$G$56</definedName>
    <definedName name="B8_04_3SOGR">Eingabe!$I$105</definedName>
    <definedName name="B8_04_3TEILPHASE">Eingabe!$I$3</definedName>
    <definedName name="B8_04_3TEUR">Eingabe!$I$106</definedName>
    <definedName name="B8_04_3TFEI">Eingabe!$I$15</definedName>
    <definedName name="B8_04_3TGEH">Eingabe!$I$31</definedName>
    <definedName name="B8_04_3TREN">'Eingabe-Beschrieb'!$G$57</definedName>
    <definedName name="B8_04_3UMBU">Eingabe!$I$77</definedName>
    <definedName name="B8_04_3VAUKB">Index!$P$10</definedName>
    <definedName name="B8_04_3VAUOB">Index!$L$62</definedName>
    <definedName name="B8_04_3VBAAG">Index!$P$12</definedName>
    <definedName name="B8_04_3VBAKO">Index!$P$8</definedName>
    <definedName name="B8_04_3VBEAU">Index!$P$6</definedName>
    <definedName name="B8_04_3VBKFE">Index!$P$25</definedName>
    <definedName name="B8_04_3VBKGF">Index!$P$27</definedName>
    <definedName name="B8_04_3VBKGV">Index!$P$28</definedName>
    <definedName name="B8_04_3VBKPE">Index!$P$30</definedName>
    <definedName name="B8_04_3VBKPF">Index!$P$31</definedName>
    <definedName name="B8_04_3VBKPG">Index!$P$32</definedName>
    <definedName name="B8_04_3VBKPV">Index!$P$33</definedName>
    <definedName name="B8_04_3VBOPL">Index!$L$54</definedName>
    <definedName name="B8_04_3VDACT">Index!$L$58</definedName>
    <definedName name="B8_04_3VERIN">Index!$P$11</definedName>
    <definedName name="B8_04_3VERKO">Index!$P$3</definedName>
    <definedName name="B8_04_3VFAUT">Index!$L$60</definedName>
    <definedName name="B8_04_3VFUE2">Index!$P$16</definedName>
    <definedName name="B8_04_3VFUE234">Index!$P$19</definedName>
    <definedName name="B8_04_3VFUE3">Index!$P$17</definedName>
    <definedName name="B8_04_3VFUE4">Index!$P$18</definedName>
    <definedName name="B8_04_3VFUEI">Index!$P$15</definedName>
    <definedName name="B8_04_3VGEDE">Index!$P$5</definedName>
    <definedName name="B8_04_3VGEGE">Index!$P$22</definedName>
    <definedName name="B8_04_3VGEVO">Index!$P$23</definedName>
    <definedName name="B8_04_3VKOIN">Benchmarkvergleich!$M$8</definedName>
    <definedName name="B8_04_3VMAUE">Index!$P$9</definedName>
    <definedName name="B8_04_3VOAR">Eingabe!$I$59</definedName>
    <definedName name="B8_04_3VPM1">Index!$P$35</definedName>
    <definedName name="B8_04_3VPM2">Index!$P$36</definedName>
    <definedName name="B8_04_3VPM3">Index!$P$37</definedName>
    <definedName name="B8_04_3VPM4">Index!$P$39</definedName>
    <definedName name="B8_04_3VPM5">Index!$P$42</definedName>
    <definedName name="B8_04_3VPM6">Index!$P$43</definedName>
    <definedName name="B8_04_3VPM7">Index!$P$44</definedName>
    <definedName name="B8_04_3VPROV">Index!$V$9</definedName>
    <definedName name="B8_04_3VTAUF">Index!$K$50</definedName>
    <definedName name="B8_04_3VTFEI">Index!$P$20</definedName>
    <definedName name="B8_04_3VTGEH">Index!$P$21</definedName>
    <definedName name="B8_04_3VUMBU">Index!$P$7</definedName>
    <definedName name="B8_04_3VVOAR">Index!$P$4</definedName>
    <definedName name="B8_04_3WAGU">'Eingabe-Beschrieb'!$G$51</definedName>
    <definedName name="B8_04_3WATG">'Eingabe-Beschrieb'!$G$52</definedName>
    <definedName name="B8_04_3WBFP">Eingabe!$I$56</definedName>
    <definedName name="B8_04_3WINF">'Eingabe-Beschrieb'!$G$62</definedName>
    <definedName name="B8_04_3WOAU">Eingabe!$I$16</definedName>
    <definedName name="B8_04_3ZIEL">Eingabe!$I$94</definedName>
    <definedName name="B8_04_3ZIPH">Eingabe!$I$93</definedName>
    <definedName name="B8_04_4ALBS">'Eingabe-Beschrieb'!$G$64</definedName>
    <definedName name="B8_04_4ASAP">Eingabe!$J$52</definedName>
    <definedName name="B8_04_4ASAT">'Eingabe-Beschrieb'!$G$77</definedName>
    <definedName name="B8_04_4ASBT">'Eingabe-Beschrieb'!$G$76</definedName>
    <definedName name="B8_04_4AUFL">Eingabe!$J$39</definedName>
    <definedName name="B8_04_4AUKB">Eingabe!$J$80</definedName>
    <definedName name="B8_04_4AUOB">Eingabe!$J$46</definedName>
    <definedName name="B8_04_4AUSA">Eingabe!$J$74</definedName>
    <definedName name="B8_04_4AUSB">Eingabe!$J$73</definedName>
    <definedName name="B8_04_4AUUN">Eingabe!$J$45</definedName>
    <definedName name="B8_04_4BAAG">Eingabe!$J$84</definedName>
    <definedName name="B8_04_4BAGR">Eingabe!$J$62</definedName>
    <definedName name="B8_04_4BAKO">Eingabe!$J$78</definedName>
    <definedName name="B8_04_4BAUBE">Eingabe!$J$8</definedName>
    <definedName name="B8_04_4BAUEN">Eingabe!$J$9</definedName>
    <definedName name="B8_04_4BAUGT">'Eingabe-Beschrieb'!$G$65</definedName>
    <definedName name="B8_04_4BEAU">Eingabe!$J$76</definedName>
    <definedName name="B8_04_4BEDI">Eingabe!$J$97</definedName>
    <definedName name="B8_04_4BEST">Eingabe!$J$98</definedName>
    <definedName name="B8_04_4BEUM">Eingabe!$J$38</definedName>
    <definedName name="B8_04_4BKFE">Kostenentwicklung!$K$105</definedName>
    <definedName name="B8_04_4BKGF">Kostenentwicklung!$K$107</definedName>
    <definedName name="B8_04_4BKGV">Kostenentwicklung!$K$108</definedName>
    <definedName name="B8_04_4BKNF">Kostenentwicklung!$K$106</definedName>
    <definedName name="B8_04_4BKPE">Kostenentwicklung!$K$110</definedName>
    <definedName name="B8_04_4BKPF">Kostenentwicklung!$K$111</definedName>
    <definedName name="B8_04_4BKPG">Kostenentwicklung!$K$112</definedName>
    <definedName name="B8_04_4BKPV">Kostenentwicklung!$K$113</definedName>
    <definedName name="B8_04_4BOPL">Eingabe!$J$43</definedName>
    <definedName name="B8_04_4BURO">Eingabe!$J$17</definedName>
    <definedName name="B8_04_4BUUK">Eingabe!$J$20</definedName>
    <definedName name="B8_04_4DACT">Eingabe!$J$48</definedName>
    <definedName name="B8_04_4DAOB">Eingabe!$J$50</definedName>
    <definedName name="B8_04_4DAPRO">Eingabe!$J$10</definedName>
    <definedName name="B8_04_4DAUN">Eingabe!$J$49</definedName>
    <definedName name="B8_04_4EING">Eingabe!$J$6</definedName>
    <definedName name="B8_04_4EIRI">Eingabe!$J$102</definedName>
    <definedName name="B8_04_4EKFE2">Eingabe!$J$88</definedName>
    <definedName name="B8_04_4EKFE3">Eingabe!$J$89</definedName>
    <definedName name="B8_04_4EKFE4">Eingabe!$J$90</definedName>
    <definedName name="B8_04_4EKTG">Eingabe!$J$87</definedName>
    <definedName name="B8_04_4ELAL">Eingabe!$J$65</definedName>
    <definedName name="B8_04_4ELAN">'Eingabe-Beschrieb'!$G$68</definedName>
    <definedName name="B8_04_4ENFL">Eingabe!$J$51</definedName>
    <definedName name="B8_04_4ENST">Eingabe!$J$7</definedName>
    <definedName name="B8_04_4ERIN">Eingabe!$J$83</definedName>
    <definedName name="B8_04_4ERKO">Eingabe!$J$82</definedName>
    <definedName name="B8_04_4FAUT">Eingabe!$J$47</definedName>
    <definedName name="B8_04_4FUE2">Eingabe!$J$24</definedName>
    <definedName name="B8_04_4FUE2HNF">Eingabe!$J$25</definedName>
    <definedName name="B8_04_4FUE3">Eingabe!$J$26</definedName>
    <definedName name="B8_04_4FUE3HNF">Eingabe!$J$27</definedName>
    <definedName name="B8_04_4FUE4">Eingabe!$J$28</definedName>
    <definedName name="B8_04_4FUE4HNF">Eingabe!$J$29</definedName>
    <definedName name="B8_04_4FUEI">Eingabe!$J$23</definedName>
    <definedName name="B8_04_4GEBA">Eingabe!$J$5</definedName>
    <definedName name="B8_04_4GEDE">Eingabe!$J$61</definedName>
    <definedName name="B8_04_4GEGB">Eingabe!$J$34</definedName>
    <definedName name="B8_04_4GEGE">Eingabe!$J$32</definedName>
    <definedName name="B8_04_4GEGR">Eingabe!$J$37</definedName>
    <definedName name="B8_04_4GETI">Eingabe!$J$33</definedName>
    <definedName name="B8_04_4GEVO">Eingabe!$J$35</definedName>
    <definedName name="B8_04_4GLUF">Eingabe!$J$53</definedName>
    <definedName name="B8_04_4GRFL">Eingabe!$J$36</definedName>
    <definedName name="B8_04_4HEPF">Eingabe!$J$21</definedName>
    <definedName name="B8_04_4HLKA">'Eingabe-Beschrieb'!$G$71</definedName>
    <definedName name="B8_04_4HLKK">Eingabe!$J$66</definedName>
    <definedName name="B8_04_4HONO">Eingabe!$J$75</definedName>
    <definedName name="B8_04_4HORE">'Eingabe-Beschrieb'!$G$78</definedName>
    <definedName name="B8_04_4INHE">Eingabe!$J$54</definedName>
    <definedName name="B8_04_4INKG">Eingabe!$J$55</definedName>
    <definedName name="B8_04_4KAEN">'Eingabe-Beschrieb'!$G$79</definedName>
    <definedName name="B8_04_4KALA">Eingabe!$J$70</definedName>
    <definedName name="B8_04_4KLEN">'Eingabe-Beschrieb'!$G$73</definedName>
    <definedName name="B8_04_4KOEX">Eingabe!$J$103</definedName>
    <definedName name="B8_04_4KOIN">Eingabe!$J$11</definedName>
    <definedName name="B8_04_4KOKO">Eingabe!$J$104</definedName>
    <definedName name="B8_04_4KUEN">Eingabe!$J$71</definedName>
    <definedName name="B8_04_4LAVV">Eingabe!$J$19</definedName>
    <definedName name="B8_04_4LKAG">Eingabe!$J$68</definedName>
    <definedName name="B8_04_4MAUE">Eingabe!$J$79</definedName>
    <definedName name="B8_04_4MFSTZH">Eingabe!$J$41</definedName>
    <definedName name="B8_04_4PHAM">Eingabe!$J$18</definedName>
    <definedName name="B8_04_4PM1">Kostenentwicklung!$K$116</definedName>
    <definedName name="B8_04_4PM2">Kostenentwicklung!$K$117</definedName>
    <definedName name="B8_04_4PM3">Kostenentwicklung!$K$118</definedName>
    <definedName name="B8_04_4PM4">Kostenentwicklung!$K$121</definedName>
    <definedName name="B8_04_4PM5">Index!$O$41</definedName>
    <definedName name="B8_04_4PM6">Kostenentwicklung!$K$126</definedName>
    <definedName name="B8_04_4PM7">Kostenentwicklung!$K$127</definedName>
    <definedName name="B8_04_4POPO">Eingabe!$J$99</definedName>
    <definedName name="B8_04_4POSA">Eingabe!$J$100</definedName>
    <definedName name="B8_04_4PROA">Eingabe!$J$101</definedName>
    <definedName name="B8_04_4PROV">Eingabe!$J$60</definedName>
    <definedName name="B8_04_4ROAT">'Eingabe-Beschrieb'!$G$67</definedName>
    <definedName name="B8_04_4ROBT">'Eingabe-Beschrieb'!$G$66</definedName>
    <definedName name="B8_04_4ROHA">Eingabe!$J$64</definedName>
    <definedName name="B8_04_4ROHB">Eingabe!$J$63</definedName>
    <definedName name="B8_04_4SALA">Eingabe!$J$69</definedName>
    <definedName name="B8_04_4SANI">'Eingabe-Beschrieb'!$G$72</definedName>
    <definedName name="B8_04_4SANK">'Eingabe-Beschrieb'!$G$74</definedName>
    <definedName name="B8_04_4SOGR">Eingabe!$J$105</definedName>
    <definedName name="B8_04_4TAUF">Eingabe!$J$44</definedName>
    <definedName name="B8_04_4TEILPHASE">Eingabe!$J$3</definedName>
    <definedName name="B8_04_4TFEI">Eingabe!$J$15</definedName>
    <definedName name="B8_04_4TGEH">Eingabe!$J$31</definedName>
    <definedName name="B8_04_4TRAL">Eingabe!$J$72</definedName>
    <definedName name="B8_04_4TREN">'Eingabe-Beschrieb'!$G$75</definedName>
    <definedName name="B8_04_4UMBU">Eingabe!$J$77</definedName>
    <definedName name="B8_04_4VOAR">Eingabe!$J$59</definedName>
    <definedName name="B8_04_4WAGU">'Eingabe-Beschrieb'!$G$69</definedName>
    <definedName name="B8_04_4WAMT">Eingabe!$J$67</definedName>
    <definedName name="B8_04_4WATG">'Eingabe-Beschrieb'!$G$70</definedName>
    <definedName name="B8_04_4WBFP">Eingabe!$J$56</definedName>
    <definedName name="B8_04_4WINF">'Eingabe-Beschrieb'!$G$80</definedName>
    <definedName name="B8_04_4WOAU">Eingabe!$J$16</definedName>
    <definedName name="B8_04_4ZIEL">Eingabe!$J$94</definedName>
    <definedName name="B8_04_4ZIPH">Eingabe!$J$93</definedName>
    <definedName name="B8_04_5ALBS">'Eingabe-Beschrieb'!$G$82</definedName>
    <definedName name="B8_04_5ASAP">Eingabe!$K$52</definedName>
    <definedName name="B8_04_5ASAT">'Eingabe-Beschrieb'!$G$95</definedName>
    <definedName name="B8_04_5ASBT">'Eingabe-Beschrieb'!$G$94</definedName>
    <definedName name="B8_04_5AUFL">Eingabe!$K$39</definedName>
    <definedName name="B8_04_5AUKB">Eingabe!$K$80</definedName>
    <definedName name="B8_04_5AUOB">Eingabe!$K$46</definedName>
    <definedName name="B8_04_5AUSA">Eingabe!$K$74</definedName>
    <definedName name="B8_04_5AUSB">Eingabe!$K$73</definedName>
    <definedName name="B8_04_5AUUN">Eingabe!$K$45</definedName>
    <definedName name="B8_04_5BAAG">Eingabe!$K$84</definedName>
    <definedName name="B8_04_5BAGR">Eingabe!$K$62</definedName>
    <definedName name="B8_04_5BAKO">Eingabe!$K$78</definedName>
    <definedName name="B8_04_5BAUBE">Eingabe!$K$8</definedName>
    <definedName name="B8_04_5BAUEN">Eingabe!$K$9</definedName>
    <definedName name="B8_04_5BAUGT">'Eingabe-Beschrieb'!$G$83</definedName>
    <definedName name="B8_04_5BEAU">Eingabe!$K$76</definedName>
    <definedName name="B8_04_5BEDI">Eingabe!$K$97</definedName>
    <definedName name="B8_04_5BEST">Eingabe!$K$98</definedName>
    <definedName name="B8_04_5BEUM">Eingabe!$K$38</definedName>
    <definedName name="B8_04_5BKFE">Kostenentwicklung!$M$105</definedName>
    <definedName name="B8_04_5BKGF">Kostenentwicklung!$M$107</definedName>
    <definedName name="B8_04_5BKGV">Kostenentwicklung!$M$108</definedName>
    <definedName name="B8_04_5BKNF">Kostenentwicklung!$M$106</definedName>
    <definedName name="B8_04_5BKPE">Kostenentwicklung!$M$110</definedName>
    <definedName name="B8_04_5BKPF">Kostenentwicklung!$M$111</definedName>
    <definedName name="B8_04_5BKPG">Kostenentwicklung!$M$112</definedName>
    <definedName name="B8_04_5BKPV">Kostenentwicklung!$M$113</definedName>
    <definedName name="B8_04_5BOPL">Eingabe!$K$43</definedName>
    <definedName name="B8_04_5BURO">Eingabe!$K$17</definedName>
    <definedName name="B8_04_5BUUK">Eingabe!$K$20</definedName>
    <definedName name="B8_04_5DACT">Eingabe!$K$48</definedName>
    <definedName name="B8_04_5DAOB">Eingabe!$K$50</definedName>
    <definedName name="B8_04_5DAPRO">Eingabe!$K$10</definedName>
    <definedName name="B8_04_5DAUN">Eingabe!$K$49</definedName>
    <definedName name="B8_04_5EING">Eingabe!$K$6</definedName>
    <definedName name="B8_04_5EIRI">Eingabe!$K$102</definedName>
    <definedName name="B8_04_5EKFE2">Eingabe!$K$88</definedName>
    <definedName name="B8_04_5EKFE3">Eingabe!$K$89</definedName>
    <definedName name="B8_04_5EKFE4">Eingabe!$K$90</definedName>
    <definedName name="B8_04_5EKTG">Eingabe!$K$87</definedName>
    <definedName name="B8_04_5ELAL">Eingabe!$K$65</definedName>
    <definedName name="B8_04_5ELAN">'Eingabe-Beschrieb'!$G$86</definedName>
    <definedName name="B8_04_5ENFL">Eingabe!$K$51</definedName>
    <definedName name="B8_04_5ENST">Eingabe!$K$7</definedName>
    <definedName name="B8_04_5ERIN">Eingabe!$K$83</definedName>
    <definedName name="B8_04_5ERKO">Eingabe!$K$82</definedName>
    <definedName name="B8_04_5FAUT">Eingabe!$K$47</definedName>
    <definedName name="B8_04_5FUE2">Eingabe!$K$24</definedName>
    <definedName name="B8_04_5FUE2HNF">Eingabe!$K$25</definedName>
    <definedName name="B8_04_5FUE3">Eingabe!$K$26</definedName>
    <definedName name="B8_04_5FUE3HNF">Eingabe!$K$27</definedName>
    <definedName name="B8_04_5FUE4">Eingabe!$K$28</definedName>
    <definedName name="B8_04_5FUE4HNF">Eingabe!$K$29</definedName>
    <definedName name="B8_04_5FUEI">Eingabe!$K$23</definedName>
    <definedName name="B8_04_5GEBA">Eingabe!$K$5</definedName>
    <definedName name="B8_04_5GEDE">Eingabe!$K$61</definedName>
    <definedName name="B8_04_5GEGB">Eingabe!$K$34</definedName>
    <definedName name="B8_04_5GEGE">Eingabe!$K$32</definedName>
    <definedName name="B8_04_5GEGR">Eingabe!$K$37</definedName>
    <definedName name="B8_04_5GETI">Eingabe!$K$33</definedName>
    <definedName name="B8_04_5GEVO">Eingabe!$K$35</definedName>
    <definedName name="B8_04_5GLUF">Eingabe!$K$53</definedName>
    <definedName name="B8_04_5GRFL">Eingabe!$K$36</definedName>
    <definedName name="B8_04_5HEPF">Eingabe!$K$21</definedName>
    <definedName name="B8_04_5HLKA">'Eingabe-Beschrieb'!$G$89</definedName>
    <definedName name="B8_04_5HLKK">Eingabe!$K$66</definedName>
    <definedName name="B8_04_5HONO">Eingabe!$K$75</definedName>
    <definedName name="B8_04_5HORE">'Eingabe-Beschrieb'!$G$96</definedName>
    <definedName name="B8_04_5INHE">Eingabe!$K$54</definedName>
    <definedName name="B8_04_5INKG">Eingabe!$K$55</definedName>
    <definedName name="B8_04_5KAEN">'Eingabe-Beschrieb'!$G$97</definedName>
    <definedName name="B8_04_5KALA">Eingabe!$K$70</definedName>
    <definedName name="B8_04_5KLEN">'Eingabe-Beschrieb'!$G$91</definedName>
    <definedName name="B8_04_5KOEX">Eingabe!$K$103</definedName>
    <definedName name="B8_04_5KOIN">Eingabe!$K$11</definedName>
    <definedName name="B8_04_5KOKO">Eingabe!$K$104</definedName>
    <definedName name="B8_04_5KUEN">Eingabe!$K$71</definedName>
    <definedName name="B8_04_5LAVV">Eingabe!$K$19</definedName>
    <definedName name="B8_04_5LKAG">Eingabe!$K$68</definedName>
    <definedName name="B8_04_5MAUE">Eingabe!$K$79</definedName>
    <definedName name="B8_04_5MFSTZH">Eingabe!$K$41</definedName>
    <definedName name="B8_04_5PHAM">Eingabe!$K$18</definedName>
    <definedName name="B8_04_5PM1">Kostenentwicklung!$M$116</definedName>
    <definedName name="B8_04_5PM2">Kostenentwicklung!$M$117</definedName>
    <definedName name="B8_04_5PM3">Kostenentwicklung!$M$118</definedName>
    <definedName name="B8_04_5PM4">Kostenentwicklung!$M$121</definedName>
    <definedName name="B8_04_5PM5">Index!$P$41</definedName>
    <definedName name="B8_04_5PM6">Kostenentwicklung!$M$126</definedName>
    <definedName name="B8_04_5PM7">Kostenentwicklung!$M$127</definedName>
    <definedName name="B8_04_5POPO">Eingabe!$K$99</definedName>
    <definedName name="B8_04_5POSA">Eingabe!$K$100</definedName>
    <definedName name="B8_04_5PROA">Eingabe!$K$101</definedName>
    <definedName name="B8_04_5PROV">Eingabe!$K$60</definedName>
    <definedName name="B8_04_5ROAT">'Eingabe-Beschrieb'!$G$85</definedName>
    <definedName name="B8_04_5ROBT">'Eingabe-Beschrieb'!$G$84</definedName>
    <definedName name="B8_04_5ROHA">Eingabe!$K$64</definedName>
    <definedName name="B8_04_5ROHB">Eingabe!$K$63</definedName>
    <definedName name="B8_04_5SALA">Eingabe!$K$69</definedName>
    <definedName name="B8_04_5SANI">'Eingabe-Beschrieb'!$G$90</definedName>
    <definedName name="B8_04_5SANK">'Eingabe-Beschrieb'!$G$92</definedName>
    <definedName name="B8_04_5SOGR">Eingabe!$K$105</definedName>
    <definedName name="B8_04_5TAUF">Eingabe!$K$44</definedName>
    <definedName name="B8_04_5TEILPHASE">Eingabe!$K$3</definedName>
    <definedName name="B8_04_5TFEI">Eingabe!$K$15</definedName>
    <definedName name="B8_04_5TGEH">Eingabe!$K$31</definedName>
    <definedName name="B8_04_5TRAL">Eingabe!$K$72</definedName>
    <definedName name="B8_04_5TREN">'Eingabe-Beschrieb'!$G$93</definedName>
    <definedName name="B8_04_5UMBU">Eingabe!$K$77</definedName>
    <definedName name="B8_04_5VOAR">Eingabe!$K$59</definedName>
    <definedName name="B8_04_5WAGU">'Eingabe-Beschrieb'!$G$87</definedName>
    <definedName name="B8_04_5WAMT">Eingabe!$K$67</definedName>
    <definedName name="B8_04_5WATG">'Eingabe-Beschrieb'!$G$88</definedName>
    <definedName name="B8_04_5WBFP">Eingabe!$K$56</definedName>
    <definedName name="B8_04_5WINF">'Eingabe-Beschrieb'!$G$98</definedName>
    <definedName name="B8_04_5WOAU">Eingabe!$K$16</definedName>
    <definedName name="B8_04_5ZIEL">Eingabe!$K$94</definedName>
    <definedName name="B8_04_5ZIPH">Eingabe!$K$93</definedName>
    <definedName name="B8_04_6ALBS">'Eingabe-Beschrieb'!$G$100</definedName>
    <definedName name="B8_04_6ASAP">Eingabe!$L$52</definedName>
    <definedName name="B8_04_6ASAT">'Eingabe-Beschrieb'!$G$113</definedName>
    <definedName name="B8_04_6ASBT">'Eingabe-Beschrieb'!$G$112</definedName>
    <definedName name="B8_04_6AUFL">Eingabe!$L$39</definedName>
    <definedName name="B8_04_6AUKB">Eingabe!$L$80</definedName>
    <definedName name="B8_04_6AUOB">Eingabe!$L$46</definedName>
    <definedName name="B8_04_6AUSA">Eingabe!$L$74</definedName>
    <definedName name="B8_04_6AUSB">Eingabe!$L$73</definedName>
    <definedName name="B8_04_6AUUN">Eingabe!$L$45</definedName>
    <definedName name="B8_04_6BAAG">Eingabe!$L$84</definedName>
    <definedName name="B8_04_6BAGR">Eingabe!$L$62</definedName>
    <definedName name="B8_04_6BAKO">Eingabe!$L$78</definedName>
    <definedName name="B8_04_6BAUBE">Eingabe!$L$8</definedName>
    <definedName name="B8_04_6BAUEN">Eingabe!$L$9</definedName>
    <definedName name="B8_04_6BAUGT">'Eingabe-Beschrieb'!$G$101</definedName>
    <definedName name="B8_04_6BEAU">Eingabe!$L$76</definedName>
    <definedName name="B8_04_6BEDI">Eingabe!$L$97</definedName>
    <definedName name="B8_04_6BEST">Eingabe!$L$98</definedName>
    <definedName name="B8_04_6BEUM">Eingabe!$L$38</definedName>
    <definedName name="B8_04_6BKFE">Kostenentwicklung!$O$105</definedName>
    <definedName name="B8_04_6BKGF">Kostenentwicklung!$O$107</definedName>
    <definedName name="B8_04_6BKGV">Kostenentwicklung!$O$108</definedName>
    <definedName name="B8_04_6BKNF">Kostenentwicklung!$O$106</definedName>
    <definedName name="B8_04_6BKPE">Kostenentwicklung!$O$110</definedName>
    <definedName name="B8_04_6BKPF">Kostenentwicklung!$O$111</definedName>
    <definedName name="B8_04_6BKPG">Kostenentwicklung!$O$112</definedName>
    <definedName name="B8_04_6BKPV">Kostenentwicklung!$O$113</definedName>
    <definedName name="B8_04_6BOPL">Eingabe!$L$43</definedName>
    <definedName name="B8_04_6BURO">Eingabe!$L$17</definedName>
    <definedName name="B8_04_6BUUK">Eingabe!$L$20</definedName>
    <definedName name="B8_04_6DACT">Eingabe!$L$48</definedName>
    <definedName name="B8_04_6DAOB">Eingabe!$L$50</definedName>
    <definedName name="B8_04_6DAPRO">Eingabe!$L$10</definedName>
    <definedName name="B8_04_6DAUN">Eingabe!$L$49</definedName>
    <definedName name="B8_04_6EING">Eingabe!$L$6</definedName>
    <definedName name="B8_04_6EIRI">Eingabe!$L$102</definedName>
    <definedName name="B8_04_6EKFE2">Eingabe!$L$88</definedName>
    <definedName name="B8_04_6EKFE3">Eingabe!$L$89</definedName>
    <definedName name="B8_04_6EKFE4">Eingabe!$L$90</definedName>
    <definedName name="B8_04_6EKTG">Eingabe!$L$87</definedName>
    <definedName name="B8_04_6ELAL">Eingabe!$L$65</definedName>
    <definedName name="B8_04_6ELAN">'Eingabe-Beschrieb'!$G$104</definedName>
    <definedName name="B8_04_6ENFL">Eingabe!$L$51</definedName>
    <definedName name="B8_04_6ENST">Eingabe!$L$7</definedName>
    <definedName name="B8_04_6ERIN">Eingabe!$L$83</definedName>
    <definedName name="B8_04_6ERKO">Eingabe!$L$82</definedName>
    <definedName name="B8_04_6FAUT">Eingabe!$L$47</definedName>
    <definedName name="B8_04_6FUE2">Eingabe!$L$24</definedName>
    <definedName name="B8_04_6FUE2HNF">Eingabe!$L$25</definedName>
    <definedName name="B8_04_6FUE3">Eingabe!$L$26</definedName>
    <definedName name="B8_04_6FUE3HNF">Eingabe!$L$27</definedName>
    <definedName name="B8_04_6FUE4">Eingabe!$L$28</definedName>
    <definedName name="B8_04_6FUE4HNF">Eingabe!$L$29</definedName>
    <definedName name="B8_04_6FUEI">Eingabe!$L$23</definedName>
    <definedName name="B8_04_6GEBA">Eingabe!$L$5</definedName>
    <definedName name="B8_04_6GEDE">Eingabe!$L$61</definedName>
    <definedName name="B8_04_6GEGB">Eingabe!$L$34</definedName>
    <definedName name="B8_04_6GEGE">Eingabe!$L$32</definedName>
    <definedName name="B8_04_6GEGR">Eingabe!$L$37</definedName>
    <definedName name="B8_04_6GETI">Eingabe!$L$33</definedName>
    <definedName name="B8_04_6GEVO">Eingabe!$L$35</definedName>
    <definedName name="B8_04_6GLUF">Eingabe!$L$53</definedName>
    <definedName name="B8_04_6GRFL">Eingabe!$L$36</definedName>
    <definedName name="B8_04_6HEPF">Eingabe!$L$21</definedName>
    <definedName name="B8_04_6HLKA">'Eingabe-Beschrieb'!$G$107</definedName>
    <definedName name="B8_04_6HLKK">Eingabe!$L$66</definedName>
    <definedName name="B8_04_6HONO">Eingabe!$L$75</definedName>
    <definedName name="B8_04_6HORE">'Eingabe-Beschrieb'!$G$114</definedName>
    <definedName name="B8_04_6INHE">Eingabe!$L$54</definedName>
    <definedName name="B8_04_6INKG">Eingabe!$L$55</definedName>
    <definedName name="B8_04_6KAEN">'Eingabe-Beschrieb'!$G$115</definedName>
    <definedName name="B8_04_6KALA">Eingabe!$L$70</definedName>
    <definedName name="B8_04_6KLEN">'Eingabe-Beschrieb'!$G$109</definedName>
    <definedName name="B8_04_6KOEX">Eingabe!$L$103</definedName>
    <definedName name="B8_04_6KOIN">Eingabe!$L$11</definedName>
    <definedName name="B8_04_6KOKO">Eingabe!$L$104</definedName>
    <definedName name="B8_04_6KUEN">Eingabe!$L$71</definedName>
    <definedName name="B8_04_6LAVV">Eingabe!$L$19</definedName>
    <definedName name="B8_04_6LKAG">Eingabe!$L$68</definedName>
    <definedName name="B8_04_6MAUE">Eingabe!$L$79</definedName>
    <definedName name="B8_04_6MFSTZH">Eingabe!$L$41</definedName>
    <definedName name="B8_04_6PHAM">Eingabe!$L$18</definedName>
    <definedName name="B8_04_6PM1">Kostenentwicklung!$O$116</definedName>
    <definedName name="B8_04_6PM2">Kostenentwicklung!$O$117</definedName>
    <definedName name="B8_04_6PM3">Kostenentwicklung!$O$118</definedName>
    <definedName name="B8_04_6PM4">Kostenentwicklung!$O$121</definedName>
    <definedName name="B8_04_6PM5">Index!$Q$41</definedName>
    <definedName name="B8_04_6PM6">Kostenentwicklung!$O$126</definedName>
    <definedName name="B8_04_6PM7">Kostenentwicklung!$O$127</definedName>
    <definedName name="B8_04_6POPO">Eingabe!$L$99</definedName>
    <definedName name="B8_04_6POSA">Eingabe!$L$100</definedName>
    <definedName name="B8_04_6PROA">Eingabe!$L$101</definedName>
    <definedName name="B8_04_6PROV">Eingabe!$L$60</definedName>
    <definedName name="B8_04_6ROAT">'Eingabe-Beschrieb'!$G$103</definedName>
    <definedName name="B8_04_6ROBT">'Eingabe-Beschrieb'!$G$102</definedName>
    <definedName name="B8_04_6ROHA">Eingabe!$L$64</definedName>
    <definedName name="B8_04_6ROHB">Eingabe!$L$63</definedName>
    <definedName name="B8_04_6SALA">Eingabe!$L$69</definedName>
    <definedName name="B8_04_6SANI">'Eingabe-Beschrieb'!$G$108</definedName>
    <definedName name="B8_04_6SANK">'Eingabe-Beschrieb'!$G$110</definedName>
    <definedName name="B8_04_6SOGR">Eingabe!$L$105</definedName>
    <definedName name="B8_04_6TAUF">Eingabe!$L$44</definedName>
    <definedName name="B8_04_6TEILPHASE">Eingabe!$L$3</definedName>
    <definedName name="B8_04_6TFEI">Eingabe!$L$15</definedName>
    <definedName name="B8_04_6TGEH">Eingabe!$L$31</definedName>
    <definedName name="B8_04_6TRAL">Eingabe!$L$72</definedName>
    <definedName name="B8_04_6TREN">'Eingabe-Beschrieb'!$G$111</definedName>
    <definedName name="B8_04_6UMBU">Eingabe!$L$77</definedName>
    <definedName name="B8_04_6VOAR">Eingabe!$L$59</definedName>
    <definedName name="B8_04_6WAGU">'Eingabe-Beschrieb'!$G$105</definedName>
    <definedName name="B8_04_6WAMT">Eingabe!$L$67</definedName>
    <definedName name="B8_04_6WATG">'Eingabe-Beschrieb'!$G$106</definedName>
    <definedName name="B8_04_6WBFP">Eingabe!$L$56</definedName>
    <definedName name="B8_04_6WINF">'Eingabe-Beschrieb'!$G$116</definedName>
    <definedName name="B8_04_6WOAU">Eingabe!$L$16</definedName>
    <definedName name="B8_04_6ZIEL">Eingabe!$L$94</definedName>
    <definedName name="B8_04_6ZIPH">Eingabe!$L$93</definedName>
    <definedName name="B8_04_7ALBS">'Eingabe-Beschrieb'!$G$118</definedName>
    <definedName name="B8_04_7ASAP">Eingabe!$M$52</definedName>
    <definedName name="B8_04_7ASAT">'Eingabe-Beschrieb'!$G$131</definedName>
    <definedName name="B8_04_7ASBT">'Eingabe-Beschrieb'!$G$130</definedName>
    <definedName name="B8_04_7AUFL">Eingabe!$M$39</definedName>
    <definedName name="B8_04_7AUKB">Eingabe!$M$80</definedName>
    <definedName name="B8_04_7AUOB">Eingabe!$M$46</definedName>
    <definedName name="B8_04_7AUSA">Eingabe!$M$74</definedName>
    <definedName name="B8_04_7AUSB">Eingabe!$M$73</definedName>
    <definedName name="B8_04_7AUUN">Eingabe!$M$45</definedName>
    <definedName name="B8_04_7BAAG">Eingabe!$M$84</definedName>
    <definedName name="B8_04_7BAGR">Eingabe!$M$62</definedName>
    <definedName name="B8_04_7BAKO">Eingabe!$M$78</definedName>
    <definedName name="B8_04_7BAUBE">Eingabe!$M$8</definedName>
    <definedName name="B8_04_7BAUEN">Eingabe!$M$9</definedName>
    <definedName name="B8_04_7BAUGT">'Eingabe-Beschrieb'!$G$119</definedName>
    <definedName name="B8_04_7BEAU">Eingabe!$M$76</definedName>
    <definedName name="B8_04_7BEDI">Eingabe!$M$97</definedName>
    <definedName name="B8_04_7BEST">Eingabe!$M$98</definedName>
    <definedName name="B8_04_7BEUM">Eingabe!$M$38</definedName>
    <definedName name="B8_04_7BKFE">Kostenentwicklung!$Q$105</definedName>
    <definedName name="B8_04_7BKGF">Kostenentwicklung!$Q$107</definedName>
    <definedName name="B8_04_7BKGV">Kostenentwicklung!$Q$108</definedName>
    <definedName name="B8_04_7BKNF">Kostenentwicklung!$Q$106</definedName>
    <definedName name="B8_04_7BKPE">Kostenentwicklung!$Q$110</definedName>
    <definedName name="B8_04_7BKPF">Kostenentwicklung!$Q$111</definedName>
    <definedName name="B8_04_7BKPG">Kostenentwicklung!$Q$112</definedName>
    <definedName name="B8_04_7BKPV">Kostenentwicklung!$Q$113</definedName>
    <definedName name="B8_04_7BOPL">Eingabe!$M$43</definedName>
    <definedName name="B8_04_7BURO">Eingabe!$M$17</definedName>
    <definedName name="B8_04_7BUUK">Eingabe!$M$20</definedName>
    <definedName name="B8_04_7DACT">Eingabe!$M$48</definedName>
    <definedName name="B8_04_7DAOB">Eingabe!$M$50</definedName>
    <definedName name="B8_04_7DAPRO">Eingabe!$M$10</definedName>
    <definedName name="B8_04_7DAUN">Eingabe!$M$49</definedName>
    <definedName name="B8_04_7EING">Eingabe!$M$6</definedName>
    <definedName name="B8_04_7EIRI">Eingabe!$M$102</definedName>
    <definedName name="B8_04_7EKFE2">Eingabe!$M$88</definedName>
    <definedName name="B8_04_7EKFE3">Eingabe!$M$89</definedName>
    <definedName name="B8_04_7EKFE4">Eingabe!$M$90</definedName>
    <definedName name="B8_04_7EKTG">Eingabe!$M$87</definedName>
    <definedName name="B8_04_7ELAL">Eingabe!$M$65</definedName>
    <definedName name="B8_04_7ELAN">'Eingabe-Beschrieb'!$G$122</definedName>
    <definedName name="B8_04_7ENFL">Eingabe!$M$51</definedName>
    <definedName name="B8_04_7ENST">Eingabe!$M$7</definedName>
    <definedName name="B8_04_7ERIN">Eingabe!$M$83</definedName>
    <definedName name="B8_04_7ERKO">Eingabe!$M$82</definedName>
    <definedName name="B8_04_7FAEN">Eingabe!$M$12</definedName>
    <definedName name="B8_04_7FAUT">Eingabe!$M$47</definedName>
    <definedName name="B8_04_7FUE2">Eingabe!$M$24</definedName>
    <definedName name="B8_04_7FUE2HNF">Eingabe!$M$25</definedName>
    <definedName name="B8_04_7FUE3">Eingabe!$M$26</definedName>
    <definedName name="B8_04_7FUE3HNF">Eingabe!$M$27</definedName>
    <definedName name="B8_04_7FUE4">Eingabe!$M$28</definedName>
    <definedName name="B8_04_7FUE4HNF">Eingabe!$M$29</definedName>
    <definedName name="B8_04_7FUEI">Eingabe!$M$23</definedName>
    <definedName name="B8_04_7GEBA">Eingabe!$M$5</definedName>
    <definedName name="B8_04_7GEDE">Eingabe!$M$61</definedName>
    <definedName name="B8_04_7GEGB">Eingabe!$M$34</definedName>
    <definedName name="B8_04_7GEGE">Eingabe!$M$32</definedName>
    <definedName name="B8_04_7GEGR">Eingabe!$M$37</definedName>
    <definedName name="B8_04_7GETI">Eingabe!$M$33</definedName>
    <definedName name="B8_04_7GEVO">Eingabe!$M$35</definedName>
    <definedName name="B8_04_7GLUF">Eingabe!$M$53</definedName>
    <definedName name="B8_04_7GRFL">Eingabe!$M$36</definedName>
    <definedName name="B8_04_7HEPF">Eingabe!$M$21</definedName>
    <definedName name="B8_04_7HLKA">'Eingabe-Beschrieb'!$G$125</definedName>
    <definedName name="B8_04_7HLKK">Eingabe!$M$66</definedName>
    <definedName name="B8_04_7HONO">Eingabe!$M$75</definedName>
    <definedName name="B8_04_7HORE">'Eingabe-Beschrieb'!$G$132</definedName>
    <definedName name="B8_04_7INHE">Eingabe!$M$54</definedName>
    <definedName name="B8_04_7INKG">Eingabe!$M$55</definedName>
    <definedName name="B8_04_7KAEN">'Eingabe-Beschrieb'!$G$133</definedName>
    <definedName name="B8_04_7KALA">Eingabe!$M$70</definedName>
    <definedName name="B8_04_7KLEN">'Eingabe-Beschrieb'!$G$127</definedName>
    <definedName name="B8_04_7KOEX">Eingabe!$M$103</definedName>
    <definedName name="B8_04_7KOIN">Eingabe!$M$11</definedName>
    <definedName name="B8_04_7KOKO">Eingabe!$M$104</definedName>
    <definedName name="B8_04_7KUEN">Eingabe!$M$71</definedName>
    <definedName name="B8_04_7LAVV">Eingabe!$M$19</definedName>
    <definedName name="B8_04_7LKAG">Eingabe!$M$68</definedName>
    <definedName name="B8_04_7MAUE">Eingabe!$M$79</definedName>
    <definedName name="B8_04_7MFSTZH">Eingabe!$M$41</definedName>
    <definedName name="B8_04_7PHAM">Eingabe!$M$18</definedName>
    <definedName name="B8_04_7PM1">Kostenentwicklung!$Q$116</definedName>
    <definedName name="B8_04_7PM2">Kostenentwicklung!$Q$117</definedName>
    <definedName name="B8_04_7PM3">Kostenentwicklung!$Q$118</definedName>
    <definedName name="B8_04_7PM4">Kostenentwicklung!$Q$121</definedName>
    <definedName name="B8_04_7PM5">Index!$R$41</definedName>
    <definedName name="B8_04_7PM6">Kostenentwicklung!$Q$126</definedName>
    <definedName name="B8_04_7PM7">Kostenentwicklung!$Q$127</definedName>
    <definedName name="B8_04_7POPO">Eingabe!$M$99</definedName>
    <definedName name="B8_04_7POSA">Eingabe!$M$100</definedName>
    <definedName name="B8_04_7PROA">Eingabe!$M$101</definedName>
    <definedName name="B8_04_7PROV">Eingabe!$M$60</definedName>
    <definedName name="B8_04_7ROAT">'Eingabe-Beschrieb'!$G$121</definedName>
    <definedName name="B8_04_7ROBT">'Eingabe-Beschrieb'!$G$120</definedName>
    <definedName name="B8_04_7ROHA">Eingabe!$M$64</definedName>
    <definedName name="B8_04_7ROHB">Eingabe!$M$63</definedName>
    <definedName name="B8_04_7SALA">Eingabe!$M$69</definedName>
    <definedName name="B8_04_7SANI">'Eingabe-Beschrieb'!$G$126</definedName>
    <definedName name="B8_04_7SANK">'Eingabe-Beschrieb'!$G$128</definedName>
    <definedName name="B8_04_7SOGR">Eingabe!$M$105</definedName>
    <definedName name="B8_04_7TAUF">Eingabe!$M$44</definedName>
    <definedName name="B8_04_7TEILPHASE">Eingabe!$M$3</definedName>
    <definedName name="B8_04_7TFEI">Eingabe!$M$15</definedName>
    <definedName name="B8_04_7TGEH">Eingabe!$M$31</definedName>
    <definedName name="B8_04_7TRAL">Eingabe!$M$72</definedName>
    <definedName name="B8_04_7TREN">'Eingabe-Beschrieb'!$G$129</definedName>
    <definedName name="B8_04_7UMBU">Eingabe!$M$77</definedName>
    <definedName name="B8_04_7VOAR">Eingabe!$M$59</definedName>
    <definedName name="B8_04_7WAGU">'Eingabe-Beschrieb'!$G$123</definedName>
    <definedName name="B8_04_7WAMT">Eingabe!$M$67</definedName>
    <definedName name="B8_04_7WATG">'Eingabe-Beschrieb'!$G$124</definedName>
    <definedName name="B8_04_7WBFP">Eingabe!$M$56</definedName>
    <definedName name="B8_04_7WINF">'Eingabe-Beschrieb'!$G$134</definedName>
    <definedName name="B8_04_7WOAU">Eingabe!$M$16</definedName>
    <definedName name="B8_04_7ZIEL">Eingabe!$M$94</definedName>
    <definedName name="B8_04_7ZIPH">Eingabe!$M$93</definedName>
    <definedName name="B8_04_AKTIVPROJE">Baukostenkennwerte!$D$4</definedName>
    <definedName name="B8_04_AUFTRAGADR">Baukostenkennwerte!$D$5</definedName>
    <definedName name="B8_04_BHRINP">Eingabe!$F$84</definedName>
    <definedName name="B8_04_DEFFE1">'Eingabe-Beschrieb'!$G$4</definedName>
    <definedName name="B8_04_DEFFE2">'Eingabe-Beschrieb'!$G$5</definedName>
    <definedName name="B8_04_DEFFE3">'Eingabe-Beschrieb'!$G$6</definedName>
    <definedName name="B8_04_DEFFE4">'Eingabe-Beschrieb'!$G$7</definedName>
    <definedName name="B8_04_DEFFETG">'Eingabe-Beschrieb'!$G$8</definedName>
    <definedName name="B8_04_INDEX2000">Index!$C$3</definedName>
    <definedName name="B8_04_INDEX2001">Index!$C$4</definedName>
    <definedName name="B8_04_INDEX2002">Index!$C$5</definedName>
    <definedName name="B8_04_INDEX2003">Index!$C$6</definedName>
    <definedName name="B8_04_INDEX2004">Index!$C$7</definedName>
    <definedName name="B8_04_INDEX2005">Index!$C$8</definedName>
    <definedName name="B8_04_INDEX2006">Index!$C$9</definedName>
    <definedName name="B8_04_INDEX2007">Index!$C$10</definedName>
    <definedName name="B8_04_INDEX2008">Index!$C$11</definedName>
    <definedName name="B8_04_INDEX2009">Index!$C$12</definedName>
    <definedName name="B8_04_INDEX2010">Index!$C$13</definedName>
    <definedName name="B8_04_INDEX2011">Index!$C$14</definedName>
    <definedName name="B8_04_INDEX2012">Index!$C$15</definedName>
    <definedName name="B8_04_INDEX2013">Index!$C$16</definedName>
    <definedName name="B8_04_INDEX2014">Index!$C$17</definedName>
    <definedName name="B8_04_INDEX2015">Index!$C$18</definedName>
    <definedName name="B8_04_INDEX2016">Index!$C$19</definedName>
    <definedName name="B8_04_INDEX2017">Index!$C$20</definedName>
    <definedName name="B8_04_INDEX2018">Index!$C$21</definedName>
    <definedName name="B8_04_INDEX2019">Index!$C$22</definedName>
    <definedName name="B8_04_INDEX2020">Index!$C$23</definedName>
    <definedName name="B8_04_INDEX2021">Index!$C$24</definedName>
    <definedName name="B8_04_INDEX2022">Index!$C$25</definedName>
    <definedName name="B8_04_INJAHR">Index!$F$4</definedName>
    <definedName name="B8_04_INSTAND">Index!$F$5</definedName>
    <definedName name="B8_04_KOMENT1">Kostenentwicklung!$E$11</definedName>
    <definedName name="B8_04_KOMENT10">Kostenentwicklung!$E$20</definedName>
    <definedName name="B8_04_KOMENT11">Kostenentwicklung!$E$21</definedName>
    <definedName name="B8_04_KOMENT12">Kostenentwicklung!$E$22</definedName>
    <definedName name="B8_04_KOMENT13">Kostenentwicklung!$E$23</definedName>
    <definedName name="B8_04_KOMENT14">Kostenentwicklung!$E$24</definedName>
    <definedName name="B8_04_KOMENT2">Kostenentwicklung!$E$12</definedName>
    <definedName name="B8_04_KOMENT3">Kostenentwicklung!$E$13</definedName>
    <definedName name="B8_04_KOMENT4">Kostenentwicklung!$E$14</definedName>
    <definedName name="B8_04_KOMENT5">Kostenentwicklung!$E$15</definedName>
    <definedName name="B8_04_KOMENT6">Kostenentwicklung!$E$16</definedName>
    <definedName name="B8_04_KOMENT7">Kostenentwicklung!$E$17</definedName>
    <definedName name="B8_04_KOMENT8">Kostenentwicklung!$E$19</definedName>
    <definedName name="B8_04_KOMENT9">Kostenentwicklung!$E$18</definedName>
    <definedName name="B8_04_MENGU">Eingabe!$F$105</definedName>
    <definedName name="B8_04_PROJEKTNAM">Index!$E$1</definedName>
    <definedName name="B8_04_PRT_PAGE00">Drucken!$D$4</definedName>
    <definedName name="B8_04_PRT_PAGE01">Drucken!$D$5</definedName>
    <definedName name="B8_04_PRT_PAGE02">Drucken!$D$6</definedName>
    <definedName name="B8_04_PRT_PAGE03">Drucken!$D$7</definedName>
    <definedName name="B8_04_PRT_PAGE04">Drucken!$D$8</definedName>
    <definedName name="B8_04_PRT_PAGE05">Drucken!$D$9</definedName>
    <definedName name="B8_04_PRT_PAGE06">Drucken!$D$10</definedName>
    <definedName name="B8_04_PRT_PAGE07">Drucken!$D$11</definedName>
    <definedName name="B8_04_PRT_PAGE08">Drucken!$D$12</definedName>
    <definedName name="B8_04_PRT_PAGE09">Drucken!$D$13</definedName>
    <definedName name="B8_04_V1BKNF">Index!$N$26</definedName>
    <definedName name="B8_04_V2BKNF">Index!$O$26</definedName>
    <definedName name="B8_04_V3BKNF">Index!$P$26</definedName>
    <definedName name="B8_04_VRPRBEZ1">Benchmarkvergleich!$I$6</definedName>
    <definedName name="B8_04_VRPRBEZ2">Benchmarkvergleich!$K$6</definedName>
    <definedName name="B8_04_VRPRBEZ3">Benchmarkvergleich!$M$6</definedName>
    <definedName name="B8_04_VRPRNR1">Benchmarkvergleich!$I$5</definedName>
    <definedName name="B8_04_VRPRNR2">Benchmarkvergleich!$K$5</definedName>
    <definedName name="B8_04_VRPRNR3">Benchmarkvergleich!$M$5</definedName>
    <definedName name="B8_04_VRPRNR4">Benchmarkvergleich!$P$5</definedName>
    <definedName name="_xlnm.Print_Area" localSheetId="6">Auswertung!$A$1:$AJ$70</definedName>
    <definedName name="_xlnm.Print_Area" localSheetId="8">'Baukostenkenn. mit Teur.'!$A$1:$L$112</definedName>
    <definedName name="_xlnm.Print_Area" localSheetId="7">Baukostenkennwerte!$A$1:$L$112</definedName>
    <definedName name="_xlnm.Print_Area" localSheetId="5">Benchmarkvergleich!$A$1:$N$54</definedName>
    <definedName name="_xlnm.Print_Area" localSheetId="1">Eingabe!$A$1:$M$110</definedName>
    <definedName name="_xlnm.Print_Area" localSheetId="2">'Eingabe-Beschrieb'!$A$1:$T$134</definedName>
    <definedName name="_xlnm.Print_Area" localSheetId="3">Kostenentwicklung!$A$1:$S$128</definedName>
    <definedName name="_xlnm.Print_Titles" localSheetId="6">Auswertung!$A:$F</definedName>
    <definedName name="_xlnm.Print_Titles" localSheetId="1">Eingabe!$1:$3</definedName>
    <definedName name="_xlnm.Print_Titles" localSheetId="2">'Eingabe-Beschrieb'!$1:$2</definedName>
    <definedName name="Z_1B6E5C62_D61A_47DD_A4A2_485ADD59D1CD_.wvu.Cols" localSheetId="5" hidden="1">Benchmarkvergleich!$O:$IV</definedName>
    <definedName name="Z_1B6E5C62_D61A_47DD_A4A2_485ADD59D1CD_.wvu.Cols" localSheetId="1" hidden="1">Eingabe!$N:$IV</definedName>
    <definedName name="Z_1B6E5C62_D61A_47DD_A4A2_485ADD59D1CD_.wvu.Cols" localSheetId="2" hidden="1">'Eingabe-Beschrieb'!$N:$IV</definedName>
    <definedName name="Z_1B6E5C62_D61A_47DD_A4A2_485ADD59D1CD_.wvu.Cols" localSheetId="4" hidden="1">'KE-Graphik'!$S:$IV</definedName>
    <definedName name="Z_1B6E5C62_D61A_47DD_A4A2_485ADD59D1CD_.wvu.Cols" localSheetId="3" hidden="1">Kostenentwicklung!$S:$IV</definedName>
    <definedName name="Z_1B6E5C62_D61A_47DD_A4A2_485ADD59D1CD_.wvu.PrintArea" localSheetId="5" hidden="1">Benchmarkvergleich!$A$1:$N$54</definedName>
    <definedName name="Z_1B6E5C62_D61A_47DD_A4A2_485ADD59D1CD_.wvu.PrintArea" localSheetId="1" hidden="1">Eingabe!$B$1:$M$110</definedName>
    <definedName name="Z_1B6E5C62_D61A_47DD_A4A2_485ADD59D1CD_.wvu.PrintArea" localSheetId="2" hidden="1">'Eingabe-Beschrieb'!$B$1:$M$28</definedName>
    <definedName name="Z_1B6E5C62_D61A_47DD_A4A2_485ADD59D1CD_.wvu.PrintArea" localSheetId="4" hidden="1">'KE-Graphik'!$A$1:$R$17</definedName>
    <definedName name="Z_1B6E5C62_D61A_47DD_A4A2_485ADD59D1CD_.wvu.PrintArea" localSheetId="3" hidden="1">Kostenentwicklung!$A$1:$R$135</definedName>
    <definedName name="Z_1B6E5C62_D61A_47DD_A4A2_485ADD59D1CD_.wvu.PrintTitles" localSheetId="1" hidden="1">Eingabe!$1:$3</definedName>
    <definedName name="Z_1B6E5C62_D61A_47DD_A4A2_485ADD59D1CD_.wvu.PrintTitles" localSheetId="2" hidden="1">'Eingabe-Beschrieb'!$1:$2</definedName>
    <definedName name="Z_1B6E5C62_D61A_47DD_A4A2_485ADD59D1CD_.wvu.Rows" localSheetId="5" hidden="1">Benchmarkvergleich!$55:$65536</definedName>
    <definedName name="Z_1B6E5C62_D61A_47DD_A4A2_485ADD59D1CD_.wvu.Rows" localSheetId="1" hidden="1">Eingabe!$125:$65542,Eingabe!$111:$119</definedName>
    <definedName name="Z_1B6E5C62_D61A_47DD_A4A2_485ADD59D1CD_.wvu.Rows" localSheetId="2" hidden="1">'Eingabe-Beschrieb'!$33:$65536,'Eingabe-Beschrieb'!#REF!</definedName>
    <definedName name="Z_1B6E5C62_D61A_47DD_A4A2_485ADD59D1CD_.wvu.Rows" localSheetId="4" hidden="1">'KE-Graphik'!$17:$65536,'KE-Graphik'!$18:$19</definedName>
    <definedName name="Z_1B6E5C62_D61A_47DD_A4A2_485ADD59D1CD_.wvu.Rows" localSheetId="3" hidden="1">Kostenentwicklung!$135:$65537,Kostenentwicklung!$136:$137</definedName>
    <definedName name="Z_1E00AB2B_C042_4EFC_A145_7C4B4752408A_.wvu.Cols" localSheetId="5" hidden="1">Benchmarkvergleich!$O:$IV</definedName>
    <definedName name="Z_1E00AB2B_C042_4EFC_A145_7C4B4752408A_.wvu.Cols" localSheetId="1" hidden="1">Eingabe!$N:$IV</definedName>
    <definedName name="Z_1E00AB2B_C042_4EFC_A145_7C4B4752408A_.wvu.Cols" localSheetId="2" hidden="1">'Eingabe-Beschrieb'!$N:$IV</definedName>
    <definedName name="Z_1E00AB2B_C042_4EFC_A145_7C4B4752408A_.wvu.Cols" localSheetId="4" hidden="1">'KE-Graphik'!$S:$IV</definedName>
    <definedName name="Z_1E00AB2B_C042_4EFC_A145_7C4B4752408A_.wvu.Cols" localSheetId="3" hidden="1">Kostenentwicklung!$S:$IV</definedName>
    <definedName name="Z_1E00AB2B_C042_4EFC_A145_7C4B4752408A_.wvu.PrintArea" localSheetId="5" hidden="1">Benchmarkvergleich!$A$1:$N$54</definedName>
    <definedName name="Z_1E00AB2B_C042_4EFC_A145_7C4B4752408A_.wvu.PrintArea" localSheetId="1" hidden="1">Eingabe!$B$1:$M$110</definedName>
    <definedName name="Z_1E00AB2B_C042_4EFC_A145_7C4B4752408A_.wvu.PrintArea" localSheetId="2" hidden="1">'Eingabe-Beschrieb'!$B$1:$M$28</definedName>
    <definedName name="Z_1E00AB2B_C042_4EFC_A145_7C4B4752408A_.wvu.PrintArea" localSheetId="4" hidden="1">'KE-Graphik'!$A$1:$R$17</definedName>
    <definedName name="Z_1E00AB2B_C042_4EFC_A145_7C4B4752408A_.wvu.PrintArea" localSheetId="3" hidden="1">Kostenentwicklung!$A$1:$R$135</definedName>
    <definedName name="Z_1E00AB2B_C042_4EFC_A145_7C4B4752408A_.wvu.PrintTitles" localSheetId="1" hidden="1">Eingabe!$1:$3</definedName>
    <definedName name="Z_1E00AB2B_C042_4EFC_A145_7C4B4752408A_.wvu.PrintTitles" localSheetId="2" hidden="1">'Eingabe-Beschrieb'!$1:$2</definedName>
    <definedName name="Z_1E00AB2B_C042_4EFC_A145_7C4B4752408A_.wvu.Rows" localSheetId="5" hidden="1">Benchmarkvergleich!$55:$65536</definedName>
    <definedName name="Z_1E00AB2B_C042_4EFC_A145_7C4B4752408A_.wvu.Rows" localSheetId="1" hidden="1">Eingabe!$125:$65542,Eingabe!$111:$119</definedName>
    <definedName name="Z_1E00AB2B_C042_4EFC_A145_7C4B4752408A_.wvu.Rows" localSheetId="2" hidden="1">'Eingabe-Beschrieb'!$33:$65536,'Eingabe-Beschrieb'!#REF!</definedName>
    <definedName name="Z_1E00AB2B_C042_4EFC_A145_7C4B4752408A_.wvu.Rows" localSheetId="4" hidden="1">'KE-Graphik'!$17:$65536,'KE-Graphik'!$18:$19</definedName>
    <definedName name="Z_1E00AB2B_C042_4EFC_A145_7C4B4752408A_.wvu.Rows" localSheetId="3" hidden="1">Kostenentwicklung!$135:$65537,Kostenentwicklung!$136:$137</definedName>
  </definedNames>
  <calcPr calcId="162913"/>
  <customWorkbookViews>
    <customWorkbookView name="Nicolas Graf - Persönliche Ansicht" guid="{1B6E5C62-D61A-47DD-A4A2-485ADD59D1CD}" mergeInterval="0" personalView="1" maximized="1" windowWidth="1680" windowHeight="835" tabRatio="323" activeSheetId="1"/>
    <customWorkbookView name="Lisa Raso - Persönliche Ansicht" guid="{1E00AB2B-C042-4EFC-A145-7C4B4752408A}" mergeInterval="0" personalView="1" xWindow="9" yWindow="31" windowWidth="1662" windowHeight="370" tabRatio="323" activeSheetId="4"/>
  </customWorkbookViews>
</workbook>
</file>

<file path=xl/calcChain.xml><?xml version="1.0" encoding="utf-8"?>
<calcChain xmlns="http://schemas.openxmlformats.org/spreadsheetml/2006/main">
  <c r="O35" i="6" l="1"/>
  <c r="O34" i="6"/>
  <c r="O33" i="6"/>
  <c r="O32" i="6"/>
  <c r="O31" i="6"/>
  <c r="O30" i="6"/>
  <c r="O29" i="6"/>
  <c r="O28" i="6"/>
  <c r="O27" i="6"/>
  <c r="O26" i="6"/>
  <c r="O25" i="6"/>
  <c r="O24" i="6"/>
  <c r="O23" i="6"/>
  <c r="O22" i="6"/>
  <c r="O21" i="6"/>
  <c r="O20" i="6"/>
  <c r="O19" i="6"/>
  <c r="O18" i="6"/>
  <c r="O17" i="6"/>
  <c r="O16" i="6"/>
  <c r="O15" i="6"/>
  <c r="O14" i="6"/>
  <c r="O13" i="6"/>
  <c r="F45" i="6"/>
  <c r="O35" i="7" l="1"/>
  <c r="O34" i="7"/>
  <c r="F4" i="5"/>
  <c r="U26" i="1"/>
  <c r="G11" i="5"/>
  <c r="G9" i="5"/>
  <c r="G7" i="5"/>
  <c r="G4" i="5"/>
  <c r="F5" i="5"/>
  <c r="U25" i="1"/>
  <c r="U8" i="1"/>
  <c r="Q10" i="13"/>
  <c r="O94" i="2"/>
  <c r="F8" i="3"/>
  <c r="E4" i="5"/>
  <c r="M21" i="3"/>
  <c r="K21" i="3"/>
  <c r="F5" i="3"/>
  <c r="Q59" i="2"/>
  <c r="Q132" i="2"/>
  <c r="G81" i="1"/>
  <c r="G83" i="1"/>
  <c r="G85" i="1"/>
  <c r="O10" i="13"/>
  <c r="M10" i="13"/>
  <c r="M14" i="13"/>
  <c r="K10" i="13"/>
  <c r="K14" i="13"/>
  <c r="Q4" i="13"/>
  <c r="Q5" i="13"/>
  <c r="O4" i="13"/>
  <c r="O5" i="13"/>
  <c r="M4" i="13"/>
  <c r="M5" i="13"/>
  <c r="K4" i="13"/>
  <c r="K5" i="13"/>
  <c r="I4" i="13"/>
  <c r="I5" i="13"/>
  <c r="Q3" i="13"/>
  <c r="O3" i="13"/>
  <c r="M3" i="13"/>
  <c r="K3" i="13"/>
  <c r="I3" i="13"/>
  <c r="Q2" i="13"/>
  <c r="O2" i="13"/>
  <c r="M2" i="13"/>
  <c r="K2" i="13"/>
  <c r="Q1" i="13"/>
  <c r="O1" i="13"/>
  <c r="M1" i="13"/>
  <c r="K1" i="13"/>
  <c r="K54" i="3"/>
  <c r="K53" i="3"/>
  <c r="K48" i="3"/>
  <c r="K47" i="3"/>
  <c r="K46" i="3"/>
  <c r="I54" i="3"/>
  <c r="I53" i="3"/>
  <c r="I48" i="3"/>
  <c r="I47" i="3"/>
  <c r="I46" i="3"/>
  <c r="U24" i="1"/>
  <c r="U23" i="1"/>
  <c r="U22" i="1"/>
  <c r="U21" i="1"/>
  <c r="U20" i="1"/>
  <c r="U19" i="1"/>
  <c r="U18" i="1"/>
  <c r="U17" i="1"/>
  <c r="U16" i="1"/>
  <c r="U15" i="1"/>
  <c r="U14" i="1"/>
  <c r="U13" i="1"/>
  <c r="U12" i="1"/>
  <c r="U11" i="1"/>
  <c r="U10" i="1"/>
  <c r="U9" i="1"/>
  <c r="R114" i="5"/>
  <c r="Q114" i="5"/>
  <c r="O117" i="5"/>
  <c r="M117" i="5"/>
  <c r="K117" i="5"/>
  <c r="R113" i="5"/>
  <c r="Q113" i="5"/>
  <c r="P116" i="5"/>
  <c r="O116" i="5"/>
  <c r="N116" i="5"/>
  <c r="M116" i="5"/>
  <c r="K116" i="5"/>
  <c r="R112" i="5"/>
  <c r="Q112" i="5"/>
  <c r="P115" i="5"/>
  <c r="O115" i="5"/>
  <c r="N115" i="5"/>
  <c r="M115" i="5"/>
  <c r="K115" i="5"/>
  <c r="R111" i="5"/>
  <c r="Q111" i="5"/>
  <c r="P114" i="5"/>
  <c r="O114" i="5"/>
  <c r="N114" i="5"/>
  <c r="M114" i="5"/>
  <c r="L114" i="5"/>
  <c r="K114" i="5"/>
  <c r="I114" i="5"/>
  <c r="R110" i="5"/>
  <c r="Q110" i="5"/>
  <c r="P113" i="5"/>
  <c r="O113" i="5"/>
  <c r="N113" i="5"/>
  <c r="M113" i="5"/>
  <c r="L113" i="5"/>
  <c r="K113" i="5"/>
  <c r="I113" i="5"/>
  <c r="F84" i="6"/>
  <c r="F83" i="6"/>
  <c r="F82" i="6"/>
  <c r="F80" i="6"/>
  <c r="F89" i="7"/>
  <c r="F90" i="7"/>
  <c r="L90" i="7" s="1"/>
  <c r="F91" i="7"/>
  <c r="L18" i="6"/>
  <c r="L18" i="7"/>
  <c r="I84" i="7"/>
  <c r="L84" i="7"/>
  <c r="J18" i="6"/>
  <c r="J18" i="7"/>
  <c r="I83" i="7"/>
  <c r="L83" i="7"/>
  <c r="H18" i="6"/>
  <c r="H18" i="7"/>
  <c r="I82" i="7"/>
  <c r="L82" i="7"/>
  <c r="I30" i="3"/>
  <c r="P19" i="5"/>
  <c r="M29" i="3"/>
  <c r="O19" i="5"/>
  <c r="K29" i="3"/>
  <c r="N19" i="5"/>
  <c r="I29" i="3"/>
  <c r="D98" i="2"/>
  <c r="D97" i="2"/>
  <c r="D96" i="2"/>
  <c r="D94" i="2"/>
  <c r="Q98" i="2"/>
  <c r="R98" i="2"/>
  <c r="Q97" i="2"/>
  <c r="Q123" i="2"/>
  <c r="Q96" i="2"/>
  <c r="R96" i="2"/>
  <c r="O98" i="2"/>
  <c r="O124" i="2"/>
  <c r="O97" i="2"/>
  <c r="O96" i="2"/>
  <c r="M98" i="2"/>
  <c r="N124" i="2"/>
  <c r="M97" i="2"/>
  <c r="P97" i="2"/>
  <c r="M96" i="2"/>
  <c r="P96" i="2"/>
  <c r="K98" i="2"/>
  <c r="K124" i="2"/>
  <c r="K97" i="2"/>
  <c r="L123" i="2"/>
  <c r="K96" i="2"/>
  <c r="L122" i="2"/>
  <c r="I98" i="2"/>
  <c r="I124" i="2"/>
  <c r="I97" i="2"/>
  <c r="I123" i="2"/>
  <c r="I96" i="2"/>
  <c r="I122" i="2"/>
  <c r="Q57" i="2"/>
  <c r="R127" i="2"/>
  <c r="Q56" i="2"/>
  <c r="Q55" i="2"/>
  <c r="Q54" i="2"/>
  <c r="O57" i="2"/>
  <c r="O126" i="2"/>
  <c r="O56" i="2"/>
  <c r="O55" i="2"/>
  <c r="O54" i="2"/>
  <c r="M57" i="2"/>
  <c r="M56" i="2"/>
  <c r="M55" i="2"/>
  <c r="M54" i="2"/>
  <c r="K57" i="2"/>
  <c r="K126" i="2"/>
  <c r="K56" i="2"/>
  <c r="K55" i="2"/>
  <c r="K54" i="2"/>
  <c r="I57" i="2"/>
  <c r="I126" i="2"/>
  <c r="I56" i="2"/>
  <c r="I55" i="2"/>
  <c r="I54" i="2"/>
  <c r="J17" i="3"/>
  <c r="M33" i="3"/>
  <c r="M32" i="3"/>
  <c r="M31" i="3"/>
  <c r="M30" i="3"/>
  <c r="M28" i="3"/>
  <c r="K33" i="3"/>
  <c r="K32" i="3"/>
  <c r="K31" i="3"/>
  <c r="K30" i="3"/>
  <c r="K28" i="3"/>
  <c r="I33" i="3"/>
  <c r="I32" i="3"/>
  <c r="I31" i="3"/>
  <c r="I28" i="3"/>
  <c r="F28" i="3"/>
  <c r="N17" i="3"/>
  <c r="M17" i="3"/>
  <c r="I17" i="3"/>
  <c r="I10" i="2"/>
  <c r="R41" i="2"/>
  <c r="P41" i="2"/>
  <c r="N41" i="2"/>
  <c r="L41" i="2"/>
  <c r="L24" i="2"/>
  <c r="L23" i="2"/>
  <c r="L22" i="2"/>
  <c r="L21" i="2"/>
  <c r="L20" i="2"/>
  <c r="L19" i="2"/>
  <c r="L18" i="2"/>
  <c r="L17" i="2"/>
  <c r="L16" i="2"/>
  <c r="L15" i="2"/>
  <c r="L14" i="2"/>
  <c r="L13" i="2"/>
  <c r="L12" i="2"/>
  <c r="L11" i="2"/>
  <c r="J11" i="2"/>
  <c r="J12" i="2"/>
  <c r="J24" i="2"/>
  <c r="J23" i="2"/>
  <c r="J22" i="2"/>
  <c r="J21" i="2"/>
  <c r="J20" i="2"/>
  <c r="J19" i="2"/>
  <c r="J18" i="2"/>
  <c r="J17" i="2"/>
  <c r="J16" i="2"/>
  <c r="J15" i="2"/>
  <c r="J14" i="2"/>
  <c r="J13" i="2"/>
  <c r="I110" i="1"/>
  <c r="H110" i="1"/>
  <c r="G110" i="1"/>
  <c r="K61" i="1"/>
  <c r="G13" i="4"/>
  <c r="O59" i="2"/>
  <c r="O132" i="2"/>
  <c r="M59" i="2"/>
  <c r="M132" i="2"/>
  <c r="K59" i="2"/>
  <c r="K132" i="2"/>
  <c r="H6" i="10"/>
  <c r="I6" i="10"/>
  <c r="J6" i="10"/>
  <c r="K6" i="10"/>
  <c r="L6" i="10"/>
  <c r="M6" i="10"/>
  <c r="N6" i="10"/>
  <c r="F11" i="10"/>
  <c r="F13" i="10"/>
  <c r="F14" i="10"/>
  <c r="F15" i="10"/>
  <c r="F16" i="10"/>
  <c r="F17" i="10"/>
  <c r="F18" i="10"/>
  <c r="F19" i="10"/>
  <c r="F20" i="10"/>
  <c r="F22" i="10"/>
  <c r="F24" i="10"/>
  <c r="F25" i="10"/>
  <c r="F26" i="10"/>
  <c r="F27" i="10"/>
  <c r="F28" i="10"/>
  <c r="F29" i="10"/>
  <c r="F31" i="10"/>
  <c r="F33" i="10"/>
  <c r="F34" i="10"/>
  <c r="F35" i="10"/>
  <c r="F36" i="10"/>
  <c r="F37" i="10"/>
  <c r="F38" i="10"/>
  <c r="F39" i="10"/>
  <c r="F40" i="10"/>
  <c r="F42" i="10"/>
  <c r="F44" i="10"/>
  <c r="F45" i="10"/>
  <c r="F46" i="10"/>
  <c r="F47" i="10"/>
  <c r="F48" i="10"/>
  <c r="F49" i="10"/>
  <c r="F51" i="10"/>
  <c r="F53" i="10"/>
  <c r="F54" i="10"/>
  <c r="F55" i="10"/>
  <c r="F56" i="10"/>
  <c r="F57" i="10"/>
  <c r="F58" i="10"/>
  <c r="F59" i="10"/>
  <c r="F61" i="10"/>
  <c r="F63" i="10"/>
  <c r="F64" i="10"/>
  <c r="F65" i="10"/>
  <c r="F66" i="10"/>
  <c r="F68" i="10"/>
  <c r="F70" i="10"/>
  <c r="F71" i="10"/>
  <c r="F72" i="10"/>
  <c r="F73" i="10"/>
  <c r="F74" i="10"/>
  <c r="F76" i="10"/>
  <c r="F78" i="10"/>
  <c r="F79" i="10"/>
  <c r="F81" i="10"/>
  <c r="F83" i="10"/>
  <c r="F84" i="10"/>
  <c r="F85" i="10"/>
  <c r="F86" i="10"/>
  <c r="F87" i="10"/>
  <c r="F89" i="10"/>
  <c r="F91" i="10"/>
  <c r="F92" i="10"/>
  <c r="F93" i="10"/>
  <c r="F94" i="10"/>
  <c r="F95" i="10"/>
  <c r="F96" i="10"/>
  <c r="F98" i="10"/>
  <c r="F100" i="10"/>
  <c r="F101" i="10"/>
  <c r="F102" i="10"/>
  <c r="F103" i="10"/>
  <c r="F104" i="10"/>
  <c r="F106" i="10"/>
  <c r="F108" i="10"/>
  <c r="F109" i="10"/>
  <c r="F110" i="10"/>
  <c r="F111" i="10"/>
  <c r="F112" i="10"/>
  <c r="F114" i="10"/>
  <c r="F116" i="10"/>
  <c r="F117" i="10"/>
  <c r="F118" i="10"/>
  <c r="F119" i="10"/>
  <c r="F120" i="10"/>
  <c r="F122" i="10"/>
  <c r="F124" i="10"/>
  <c r="F125" i="10"/>
  <c r="F126" i="10"/>
  <c r="F127" i="10"/>
  <c r="F128" i="10"/>
  <c r="F129" i="10"/>
  <c r="F130" i="10"/>
  <c r="F131" i="10"/>
  <c r="V16" i="7"/>
  <c r="U16" i="7"/>
  <c r="E7" i="5"/>
  <c r="F7" i="5"/>
  <c r="E9" i="5"/>
  <c r="F9" i="5"/>
  <c r="E11" i="5"/>
  <c r="F11" i="5"/>
  <c r="M9" i="3"/>
  <c r="N13" i="5"/>
  <c r="O13" i="5"/>
  <c r="P13" i="5"/>
  <c r="B28" i="5"/>
  <c r="C28" i="5"/>
  <c r="D28" i="5" s="1"/>
  <c r="B29" i="5"/>
  <c r="C29" i="5"/>
  <c r="D29" i="5" s="1"/>
  <c r="B30" i="5"/>
  <c r="C30" i="5"/>
  <c r="D30" i="5" s="1"/>
  <c r="B31" i="5"/>
  <c r="C31" i="5"/>
  <c r="D31" i="5" s="1"/>
  <c r="B32" i="5"/>
  <c r="C32" i="5"/>
  <c r="D32" i="5" s="1"/>
  <c r="I54" i="5"/>
  <c r="I60" i="5"/>
  <c r="I62" i="5"/>
  <c r="D4" i="7"/>
  <c r="D5" i="7"/>
  <c r="O13" i="7"/>
  <c r="O14" i="7"/>
  <c r="O15" i="7"/>
  <c r="O16" i="7"/>
  <c r="O17" i="7"/>
  <c r="F19" i="7"/>
  <c r="O18" i="7"/>
  <c r="V19" i="7"/>
  <c r="U19" i="7"/>
  <c r="O19" i="7"/>
  <c r="O20" i="7"/>
  <c r="O21" i="7"/>
  <c r="O22" i="7"/>
  <c r="O23" i="7"/>
  <c r="O24" i="7"/>
  <c r="O25" i="7"/>
  <c r="O26" i="7"/>
  <c r="O27" i="7"/>
  <c r="O28" i="7"/>
  <c r="O29" i="7"/>
  <c r="O30" i="7"/>
  <c r="O31" i="7"/>
  <c r="O32" i="7"/>
  <c r="O33" i="7"/>
  <c r="D112" i="7"/>
  <c r="D111" i="7"/>
  <c r="D110" i="7"/>
  <c r="D109" i="7"/>
  <c r="D108" i="7"/>
  <c r="D106" i="7"/>
  <c r="D105" i="7"/>
  <c r="D104" i="7"/>
  <c r="D103" i="7"/>
  <c r="D102" i="7"/>
  <c r="D101" i="7"/>
  <c r="D100" i="7"/>
  <c r="L1" i="6"/>
  <c r="L1" i="7" s="1"/>
  <c r="D6" i="7"/>
  <c r="D7" i="7"/>
  <c r="D8" i="7"/>
  <c r="D9" i="7"/>
  <c r="F11" i="7"/>
  <c r="L11" i="7"/>
  <c r="F12" i="7"/>
  <c r="L12" i="7"/>
  <c r="H17" i="7"/>
  <c r="F22" i="6"/>
  <c r="F22" i="7"/>
  <c r="H79" i="7"/>
  <c r="F23" i="6"/>
  <c r="F24" i="7"/>
  <c r="F25" i="7"/>
  <c r="F26" i="7"/>
  <c r="L26" i="7" s="1"/>
  <c r="F29" i="7"/>
  <c r="F30" i="7"/>
  <c r="F33" i="7"/>
  <c r="F31" i="7" s="1"/>
  <c r="L31" i="7" s="1"/>
  <c r="F34" i="7"/>
  <c r="F36" i="7"/>
  <c r="F38" i="7"/>
  <c r="L38" i="7" s="1"/>
  <c r="F39" i="7"/>
  <c r="F40" i="7"/>
  <c r="L50" i="6"/>
  <c r="F96" i="7"/>
  <c r="F97" i="7"/>
  <c r="F99" i="7"/>
  <c r="F100" i="7"/>
  <c r="F101" i="7"/>
  <c r="F102" i="7"/>
  <c r="F103" i="7"/>
  <c r="F104" i="7"/>
  <c r="D105" i="6"/>
  <c r="D104" i="6"/>
  <c r="D103" i="6"/>
  <c r="D102" i="6"/>
  <c r="D101" i="6"/>
  <c r="D100" i="6"/>
  <c r="F105" i="7"/>
  <c r="F106" i="7"/>
  <c r="F107" i="7"/>
  <c r="F108" i="7"/>
  <c r="F109" i="7"/>
  <c r="F110" i="7"/>
  <c r="F111" i="7"/>
  <c r="D112" i="6"/>
  <c r="D111" i="6"/>
  <c r="D110" i="6"/>
  <c r="D109" i="6"/>
  <c r="F112" i="7"/>
  <c r="G3" i="4"/>
  <c r="G48" i="4"/>
  <c r="Q3" i="4"/>
  <c r="Q48" i="4"/>
  <c r="Z3" i="4"/>
  <c r="Z48" i="4"/>
  <c r="G4" i="4"/>
  <c r="G49" i="4" s="1"/>
  <c r="Q4" i="4"/>
  <c r="Q49" i="4"/>
  <c r="Z4" i="4"/>
  <c r="Z49" i="4" s="1"/>
  <c r="G5" i="4"/>
  <c r="G50" i="4"/>
  <c r="Q5" i="4"/>
  <c r="Q50" i="4"/>
  <c r="Z5" i="4"/>
  <c r="Z50" i="4"/>
  <c r="G6" i="4"/>
  <c r="G51" i="4"/>
  <c r="Q6" i="4"/>
  <c r="Q51" i="4"/>
  <c r="Z6" i="4"/>
  <c r="Z51" i="4"/>
  <c r="G7" i="4"/>
  <c r="G52" i="4"/>
  <c r="Q7" i="4"/>
  <c r="Q52" i="4"/>
  <c r="Z7" i="4"/>
  <c r="Z52" i="4"/>
  <c r="G8" i="4"/>
  <c r="G53" i="4" s="1"/>
  <c r="Q8" i="4"/>
  <c r="Q53" i="4"/>
  <c r="Z8" i="4"/>
  <c r="Z53" i="4" s="1"/>
  <c r="G9" i="4"/>
  <c r="Q9" i="4"/>
  <c r="Z9" i="4"/>
  <c r="L11" i="4"/>
  <c r="M11" i="4"/>
  <c r="V11" i="4"/>
  <c r="W11" i="4"/>
  <c r="AE11" i="4"/>
  <c r="AF11" i="4"/>
  <c r="G12" i="4"/>
  <c r="Q12" i="4"/>
  <c r="Z12" i="4"/>
  <c r="G14" i="4"/>
  <c r="Q14" i="4"/>
  <c r="Z14" i="4"/>
  <c r="G15" i="4"/>
  <c r="Q15" i="4"/>
  <c r="Z15" i="4"/>
  <c r="G16" i="4"/>
  <c r="Q16" i="4"/>
  <c r="Z16" i="4"/>
  <c r="G17" i="4"/>
  <c r="Q17" i="4"/>
  <c r="W17" i="4"/>
  <c r="Z17" i="4"/>
  <c r="G18" i="4"/>
  <c r="N18" i="4"/>
  <c r="Q18" i="4"/>
  <c r="X18" i="4"/>
  <c r="Z18" i="4"/>
  <c r="G19" i="4"/>
  <c r="N19" i="4"/>
  <c r="Q19" i="4"/>
  <c r="Z19" i="4"/>
  <c r="AG19" i="4"/>
  <c r="G20" i="4"/>
  <c r="N20" i="4"/>
  <c r="Q20" i="4"/>
  <c r="Z20" i="4"/>
  <c r="AG20" i="4"/>
  <c r="G21" i="4"/>
  <c r="Q21" i="4"/>
  <c r="Z21" i="4"/>
  <c r="AG21" i="4"/>
  <c r="G22" i="4"/>
  <c r="N22" i="4"/>
  <c r="Q22" i="4"/>
  <c r="Z22" i="4"/>
  <c r="AG22" i="4"/>
  <c r="G23" i="4"/>
  <c r="Q23" i="4"/>
  <c r="Z23" i="4"/>
  <c r="G24" i="4"/>
  <c r="Q24" i="4"/>
  <c r="Z24" i="4"/>
  <c r="G25" i="4"/>
  <c r="Q25" i="4"/>
  <c r="W25" i="4"/>
  <c r="Z25" i="4"/>
  <c r="AE25" i="4"/>
  <c r="G26" i="4"/>
  <c r="Q26" i="4"/>
  <c r="Z26" i="4"/>
  <c r="G27" i="4"/>
  <c r="Q27" i="4"/>
  <c r="Z27" i="4"/>
  <c r="G28" i="4"/>
  <c r="Q28" i="4"/>
  <c r="Z28" i="4"/>
  <c r="AF28" i="4"/>
  <c r="G29" i="4"/>
  <c r="Q29" i="4"/>
  <c r="Z29" i="4"/>
  <c r="G30" i="4"/>
  <c r="Q30" i="4"/>
  <c r="Z30" i="4"/>
  <c r="G31" i="4"/>
  <c r="Q31" i="4"/>
  <c r="Z31" i="4"/>
  <c r="G32" i="4"/>
  <c r="Q32" i="4"/>
  <c r="Z32" i="4"/>
  <c r="G34" i="4"/>
  <c r="Q34" i="4"/>
  <c r="W34" i="4"/>
  <c r="Z34" i="4"/>
  <c r="AE34" i="4"/>
  <c r="G35" i="4"/>
  <c r="Q35" i="4"/>
  <c r="Z35" i="4"/>
  <c r="G43" i="4"/>
  <c r="Q43" i="4"/>
  <c r="Z43" i="4"/>
  <c r="G46" i="4"/>
  <c r="Q46" i="4"/>
  <c r="Z46" i="4"/>
  <c r="G47" i="4"/>
  <c r="Q47" i="4"/>
  <c r="Z47" i="4"/>
  <c r="G55" i="4"/>
  <c r="Q55" i="4"/>
  <c r="Z55" i="4"/>
  <c r="G56" i="4"/>
  <c r="Q56" i="4"/>
  <c r="Z56" i="4"/>
  <c r="G57" i="4"/>
  <c r="Q57" i="4"/>
  <c r="Z57" i="4"/>
  <c r="G58" i="4"/>
  <c r="Q58" i="4"/>
  <c r="Z58" i="4"/>
  <c r="G59" i="4"/>
  <c r="Q59" i="4"/>
  <c r="Z59" i="4"/>
  <c r="G60" i="4"/>
  <c r="Q60" i="4"/>
  <c r="Z60" i="4"/>
  <c r="G61" i="4"/>
  <c r="Q61" i="4"/>
  <c r="Z61" i="4"/>
  <c r="G62" i="4"/>
  <c r="Q62" i="4"/>
  <c r="Z62" i="4"/>
  <c r="G63" i="4"/>
  <c r="Q63" i="4"/>
  <c r="Z63" i="4"/>
  <c r="G64" i="4"/>
  <c r="Q64" i="4"/>
  <c r="Z64" i="4"/>
  <c r="G65" i="4"/>
  <c r="Q65" i="4"/>
  <c r="Z65" i="4"/>
  <c r="G66" i="4"/>
  <c r="Q66" i="4"/>
  <c r="Z66" i="4"/>
  <c r="G67" i="4"/>
  <c r="Q67" i="4"/>
  <c r="Z67" i="4"/>
  <c r="G68" i="4"/>
  <c r="Q68" i="4"/>
  <c r="Z68" i="4"/>
  <c r="G69" i="4"/>
  <c r="Q69" i="4"/>
  <c r="Z69" i="4"/>
  <c r="F32" i="3"/>
  <c r="J32" i="3"/>
  <c r="F33" i="3"/>
  <c r="K1" i="2"/>
  <c r="K83" i="2"/>
  <c r="M1" i="2"/>
  <c r="M65" i="2"/>
  <c r="O1" i="2"/>
  <c r="O65" i="2"/>
  <c r="Q1" i="2"/>
  <c r="Q83" i="2"/>
  <c r="K2" i="2"/>
  <c r="K84" i="2"/>
  <c r="M2" i="2"/>
  <c r="M66" i="2"/>
  <c r="O2" i="2"/>
  <c r="O84" i="2"/>
  <c r="Q2" i="2"/>
  <c r="Q66" i="2"/>
  <c r="I3" i="2"/>
  <c r="I67" i="2"/>
  <c r="K3" i="2"/>
  <c r="K67" i="2"/>
  <c r="M3" i="2"/>
  <c r="M67" i="2"/>
  <c r="O3" i="2"/>
  <c r="O67" i="2"/>
  <c r="Q3" i="2"/>
  <c r="Q67" i="2"/>
  <c r="I4" i="2"/>
  <c r="I5" i="2"/>
  <c r="K4" i="2"/>
  <c r="K5" i="2"/>
  <c r="M4" i="2"/>
  <c r="M5" i="2"/>
  <c r="O4" i="2"/>
  <c r="O5" i="2"/>
  <c r="Q4" i="2"/>
  <c r="Q5" i="2"/>
  <c r="I7" i="2"/>
  <c r="J77" i="2"/>
  <c r="K7" i="2"/>
  <c r="M7" i="2"/>
  <c r="M77" i="2"/>
  <c r="O7" i="2"/>
  <c r="Q7" i="2"/>
  <c r="Q77" i="2"/>
  <c r="I8" i="2"/>
  <c r="K8" i="2"/>
  <c r="M8" i="2"/>
  <c r="O8" i="2"/>
  <c r="Q8" i="2"/>
  <c r="R8" i="2"/>
  <c r="I9" i="2"/>
  <c r="K9" i="2"/>
  <c r="M9" i="2"/>
  <c r="O9" i="2"/>
  <c r="Q9" i="2"/>
  <c r="R9" i="2"/>
  <c r="M11" i="2"/>
  <c r="O11" i="2"/>
  <c r="Q11" i="2"/>
  <c r="R11" i="2"/>
  <c r="M12" i="2"/>
  <c r="O12" i="2"/>
  <c r="Q12" i="2"/>
  <c r="R12" i="2"/>
  <c r="M13" i="2"/>
  <c r="O13" i="2"/>
  <c r="Q13" i="2"/>
  <c r="R13" i="2"/>
  <c r="M14" i="2"/>
  <c r="O14" i="2"/>
  <c r="Q14" i="2"/>
  <c r="R14" i="2"/>
  <c r="M15" i="2"/>
  <c r="O15" i="2"/>
  <c r="Q15" i="2"/>
  <c r="R15" i="2"/>
  <c r="M16" i="2"/>
  <c r="O16" i="2"/>
  <c r="Q16" i="2"/>
  <c r="R16" i="2"/>
  <c r="M17" i="2"/>
  <c r="O17" i="2"/>
  <c r="Q17" i="2"/>
  <c r="R17" i="2"/>
  <c r="M18" i="2"/>
  <c r="O18" i="2"/>
  <c r="Q18" i="2"/>
  <c r="R18" i="2"/>
  <c r="M19" i="2"/>
  <c r="O19" i="2"/>
  <c r="P19" i="2"/>
  <c r="Q19" i="2"/>
  <c r="R19" i="2"/>
  <c r="M20" i="2"/>
  <c r="O20" i="2"/>
  <c r="Q20" i="2"/>
  <c r="R20" i="2"/>
  <c r="M21" i="2"/>
  <c r="O21" i="2"/>
  <c r="Q21" i="2"/>
  <c r="R21" i="2"/>
  <c r="M22" i="2"/>
  <c r="O22" i="2"/>
  <c r="Q22" i="2"/>
  <c r="R22" i="2"/>
  <c r="M23" i="2"/>
  <c r="O23" i="2"/>
  <c r="Q23" i="2"/>
  <c r="R23" i="2"/>
  <c r="M24" i="2"/>
  <c r="O24" i="2"/>
  <c r="Q24" i="2"/>
  <c r="R24" i="2"/>
  <c r="I25" i="2"/>
  <c r="K25" i="2"/>
  <c r="M25" i="2"/>
  <c r="O25" i="2"/>
  <c r="Q25" i="2"/>
  <c r="R71" i="2"/>
  <c r="I26" i="2"/>
  <c r="K26" i="2"/>
  <c r="M26" i="2"/>
  <c r="O26" i="2"/>
  <c r="Q26" i="2"/>
  <c r="R72" i="2"/>
  <c r="I27" i="2"/>
  <c r="K27" i="2"/>
  <c r="M27" i="2"/>
  <c r="O27" i="2"/>
  <c r="Q27" i="2"/>
  <c r="R27" i="2"/>
  <c r="I28" i="2"/>
  <c r="I74" i="2"/>
  <c r="K28" i="2"/>
  <c r="L28" i="2"/>
  <c r="M28" i="2"/>
  <c r="M74" i="2"/>
  <c r="O28" i="2"/>
  <c r="P28" i="2"/>
  <c r="Q28" i="2"/>
  <c r="Q74" i="2"/>
  <c r="I29" i="2"/>
  <c r="J75" i="2"/>
  <c r="K29" i="2"/>
  <c r="L75" i="2"/>
  <c r="M29" i="2"/>
  <c r="O29" i="2"/>
  <c r="Q29" i="2"/>
  <c r="Q75" i="2"/>
  <c r="I31" i="2"/>
  <c r="J80" i="2"/>
  <c r="K31" i="2"/>
  <c r="M31" i="2"/>
  <c r="O31" i="2"/>
  <c r="K35" i="2"/>
  <c r="M35" i="2"/>
  <c r="N35" i="2"/>
  <c r="O35" i="2"/>
  <c r="Q35" i="2"/>
  <c r="R35" i="2"/>
  <c r="K36" i="2"/>
  <c r="L36" i="2"/>
  <c r="M36" i="2"/>
  <c r="N36" i="2"/>
  <c r="O36" i="2"/>
  <c r="P36" i="2"/>
  <c r="Q36" i="2"/>
  <c r="R36" i="2"/>
  <c r="K37" i="2"/>
  <c r="M37" i="2"/>
  <c r="N37" i="2"/>
  <c r="O37" i="2"/>
  <c r="P37" i="2"/>
  <c r="Q37" i="2"/>
  <c r="R37" i="2"/>
  <c r="K38" i="2"/>
  <c r="M38" i="2"/>
  <c r="N38" i="2"/>
  <c r="O38" i="2"/>
  <c r="P38" i="2"/>
  <c r="Q38" i="2"/>
  <c r="R38" i="2"/>
  <c r="K39" i="2"/>
  <c r="L39" i="2"/>
  <c r="M39" i="2"/>
  <c r="O39" i="2"/>
  <c r="P39" i="2"/>
  <c r="Q39" i="2"/>
  <c r="R39" i="2"/>
  <c r="K40" i="2"/>
  <c r="M40" i="2"/>
  <c r="N40" i="2"/>
  <c r="O40" i="2"/>
  <c r="P40" i="2"/>
  <c r="Q40" i="2"/>
  <c r="R40" i="2"/>
  <c r="K42" i="2"/>
  <c r="L42" i="2"/>
  <c r="M42" i="2"/>
  <c r="O42" i="2"/>
  <c r="P42" i="2"/>
  <c r="Q42" i="2"/>
  <c r="R42" i="2"/>
  <c r="K43" i="2"/>
  <c r="M43" i="2"/>
  <c r="N43" i="2"/>
  <c r="O43" i="2"/>
  <c r="P43" i="2"/>
  <c r="Q43" i="2"/>
  <c r="R43" i="2"/>
  <c r="K44" i="2"/>
  <c r="L44" i="2"/>
  <c r="M44" i="2"/>
  <c r="O44" i="2"/>
  <c r="P44" i="2"/>
  <c r="Q44" i="2"/>
  <c r="R44" i="2"/>
  <c r="F49" i="2"/>
  <c r="I66" i="2"/>
  <c r="I83" i="2"/>
  <c r="I84" i="2"/>
  <c r="I94" i="2"/>
  <c r="I121" i="2"/>
  <c r="K94" i="2"/>
  <c r="M94" i="2"/>
  <c r="Q94" i="2"/>
  <c r="Q110" i="2"/>
  <c r="I101" i="2"/>
  <c r="K101" i="2"/>
  <c r="L101" i="2"/>
  <c r="M101" i="2"/>
  <c r="O101" i="2"/>
  <c r="Q101" i="2"/>
  <c r="R101" i="2"/>
  <c r="I102" i="2"/>
  <c r="K102" i="2"/>
  <c r="M102" i="2"/>
  <c r="P102" i="2"/>
  <c r="O102" i="2"/>
  <c r="Q102" i="2"/>
  <c r="R113" i="2"/>
  <c r="AF1" i="8"/>
  <c r="AT18" i="8"/>
  <c r="AU18" i="8"/>
  <c r="AV18" i="8"/>
  <c r="AW18" i="8"/>
  <c r="AX18" i="8"/>
  <c r="AY18" i="8"/>
  <c r="AZ18" i="8"/>
  <c r="G15" i="1"/>
  <c r="H15" i="1"/>
  <c r="I15" i="1"/>
  <c r="J15" i="1"/>
  <c r="K99" i="2"/>
  <c r="K15" i="1"/>
  <c r="M99" i="2"/>
  <c r="P99" i="2"/>
  <c r="L15" i="1"/>
  <c r="M15" i="1"/>
  <c r="Z39" i="4"/>
  <c r="G31" i="1"/>
  <c r="H31" i="1"/>
  <c r="I31" i="1"/>
  <c r="I100" i="2"/>
  <c r="J31" i="1"/>
  <c r="K100" i="2"/>
  <c r="K31" i="1"/>
  <c r="M100" i="2"/>
  <c r="P100" i="2"/>
  <c r="L31" i="1"/>
  <c r="M31" i="1"/>
  <c r="L21" i="6"/>
  <c r="L21" i="7"/>
  <c r="H44" i="1"/>
  <c r="J44" i="1"/>
  <c r="K44" i="1"/>
  <c r="L44" i="1"/>
  <c r="M44" i="1"/>
  <c r="H48" i="1"/>
  <c r="J48" i="1"/>
  <c r="K48" i="1"/>
  <c r="L48" i="1"/>
  <c r="M48" i="1"/>
  <c r="L61" i="1"/>
  <c r="Q13" i="4"/>
  <c r="M61" i="1"/>
  <c r="H81" i="1"/>
  <c r="H83" i="1"/>
  <c r="H85" i="1"/>
  <c r="I81" i="1"/>
  <c r="I83" i="1"/>
  <c r="I93" i="1"/>
  <c r="I59" i="2"/>
  <c r="G107" i="1"/>
  <c r="G108" i="1"/>
  <c r="G109" i="1"/>
  <c r="H107" i="1"/>
  <c r="I107" i="1"/>
  <c r="K10" i="2"/>
  <c r="J81" i="1"/>
  <c r="F88" i="7"/>
  <c r="H79" i="6"/>
  <c r="Q78" i="2"/>
  <c r="N123" i="2"/>
  <c r="W32" i="4"/>
  <c r="L98" i="2"/>
  <c r="L29" i="4"/>
  <c r="W14" i="4"/>
  <c r="L17" i="4"/>
  <c r="W28" i="4"/>
  <c r="L28" i="4"/>
  <c r="AE21" i="4"/>
  <c r="F27" i="7"/>
  <c r="L27" i="7" s="1"/>
  <c r="L25" i="4"/>
  <c r="W26" i="4"/>
  <c r="AE19" i="4"/>
  <c r="W29" i="4"/>
  <c r="H52" i="6"/>
  <c r="L28" i="3"/>
  <c r="AE26" i="4"/>
  <c r="AE14" i="4"/>
  <c r="F18" i="7"/>
  <c r="I83" i="6"/>
  <c r="L83" i="6"/>
  <c r="L65" i="6"/>
  <c r="R25" i="2"/>
  <c r="N101" i="2"/>
  <c r="P101" i="2"/>
  <c r="F27" i="6"/>
  <c r="L28" i="6" s="1"/>
  <c r="AE30" i="4"/>
  <c r="I61" i="6"/>
  <c r="Q69" i="2"/>
  <c r="W19" i="4"/>
  <c r="M23" i="4"/>
  <c r="L60" i="6"/>
  <c r="L19" i="6"/>
  <c r="W18" i="4"/>
  <c r="AE27" i="4"/>
  <c r="I10" i="13"/>
  <c r="I14" i="13"/>
  <c r="M121" i="2"/>
  <c r="P94" i="2"/>
  <c r="I59" i="6"/>
  <c r="Q72" i="2"/>
  <c r="AE35" i="4"/>
  <c r="N98" i="2"/>
  <c r="P98" i="2"/>
  <c r="Q87" i="2"/>
  <c r="R74" i="2"/>
  <c r="I127" i="2"/>
  <c r="Q127" i="2"/>
  <c r="L94" i="2"/>
  <c r="K121" i="2"/>
  <c r="L127" i="2"/>
  <c r="R77" i="2"/>
  <c r="R105" i="2"/>
  <c r="Q121" i="2"/>
  <c r="O66" i="2"/>
  <c r="O121" i="2"/>
  <c r="Q65" i="2"/>
  <c r="Q52" i="2"/>
  <c r="I77" i="2"/>
  <c r="M84" i="2"/>
  <c r="R73" i="2"/>
  <c r="L27" i="4"/>
  <c r="V17" i="4"/>
  <c r="F95" i="7"/>
  <c r="F35" i="7" s="1"/>
  <c r="L35" i="7" s="1"/>
  <c r="I70" i="6"/>
  <c r="V35" i="4"/>
  <c r="L23" i="4"/>
  <c r="L15" i="4"/>
  <c r="Z41" i="4"/>
  <c r="I84" i="6"/>
  <c r="L84" i="6"/>
  <c r="P124" i="2"/>
  <c r="O95" i="2"/>
  <c r="M125" i="2"/>
  <c r="R122" i="2"/>
  <c r="R110" i="2"/>
  <c r="R94" i="2"/>
  <c r="L48" i="6"/>
  <c r="Q88" i="2"/>
  <c r="R102" i="2"/>
  <c r="L33" i="3"/>
  <c r="AE29" i="4"/>
  <c r="W24" i="4"/>
  <c r="W16" i="4"/>
  <c r="Q108" i="2"/>
  <c r="V29" i="4"/>
  <c r="L66" i="6"/>
  <c r="AE23" i="4"/>
  <c r="AE15" i="4"/>
  <c r="W23" i="4"/>
  <c r="AE20" i="4"/>
  <c r="H64" i="6"/>
  <c r="W20" i="4"/>
  <c r="F95" i="6"/>
  <c r="F35" i="6" s="1"/>
  <c r="V25" i="4"/>
  <c r="N28" i="3"/>
  <c r="Q89" i="2"/>
  <c r="J28" i="3"/>
  <c r="L96" i="2"/>
  <c r="L88" i="7"/>
  <c r="V14" i="4"/>
  <c r="V18" i="4"/>
  <c r="V15" i="4"/>
  <c r="V32" i="4"/>
  <c r="V28" i="4"/>
  <c r="J33" i="3"/>
  <c r="L32" i="3"/>
  <c r="N32" i="3"/>
  <c r="J34" i="6"/>
  <c r="L22" i="4"/>
  <c r="W15" i="4"/>
  <c r="I60" i="6"/>
  <c r="V23" i="4"/>
  <c r="V16" i="4"/>
  <c r="L19" i="4"/>
  <c r="V24" i="4"/>
  <c r="M81" i="1"/>
  <c r="M83" i="1"/>
  <c r="M96" i="1"/>
  <c r="F17" i="3"/>
  <c r="G17" i="3"/>
  <c r="F14" i="3"/>
  <c r="F20" i="3"/>
  <c r="F12" i="3"/>
  <c r="F13" i="3"/>
  <c r="F16" i="3"/>
  <c r="F21" i="3"/>
  <c r="F18" i="3"/>
  <c r="F15" i="3"/>
  <c r="L21" i="4"/>
  <c r="N21" i="4"/>
  <c r="H63" i="6"/>
  <c r="H15" i="4"/>
  <c r="K9" i="3"/>
  <c r="I9" i="3"/>
  <c r="R121" i="2"/>
  <c r="L121" i="2"/>
  <c r="R7" i="2"/>
  <c r="J7" i="2"/>
  <c r="I75" i="2"/>
  <c r="J29" i="2"/>
  <c r="J74" i="2"/>
  <c r="J28" i="2"/>
  <c r="R26" i="2"/>
  <c r="Z13" i="4"/>
  <c r="AA13" i="4"/>
  <c r="R22" i="4"/>
  <c r="L64" i="6"/>
  <c r="V19" i="4"/>
  <c r="X19" i="4"/>
  <c r="K81" i="1"/>
  <c r="K83" i="1"/>
  <c r="K85" i="1"/>
  <c r="H18" i="4"/>
  <c r="H19" i="4"/>
  <c r="H23" i="4"/>
  <c r="M78" i="2"/>
  <c r="L12" i="4"/>
  <c r="H67" i="6"/>
  <c r="I56" i="5"/>
  <c r="Q113" i="2"/>
  <c r="I44" i="6"/>
  <c r="I67" i="6"/>
  <c r="I66" i="6"/>
  <c r="I71" i="6"/>
  <c r="I47" i="6"/>
  <c r="I63" i="6"/>
  <c r="I54" i="6"/>
  <c r="L93" i="6"/>
  <c r="L89" i="7"/>
  <c r="I49" i="6"/>
  <c r="I46" i="6"/>
  <c r="I50" i="6"/>
  <c r="AE16" i="4"/>
  <c r="I62" i="6"/>
  <c r="I68" i="6"/>
  <c r="I48" i="6"/>
  <c r="I64" i="6"/>
  <c r="L88" i="6"/>
  <c r="I72" i="6"/>
  <c r="I52" i="6"/>
  <c r="V34" i="4"/>
  <c r="L26" i="4"/>
  <c r="N102" i="2"/>
  <c r="L18" i="4"/>
  <c r="L13" i="4"/>
  <c r="L16" i="4"/>
  <c r="L32" i="4"/>
  <c r="F93" i="7"/>
  <c r="L93" i="7" s="1"/>
  <c r="L91" i="6"/>
  <c r="L90" i="6"/>
  <c r="P117" i="5"/>
  <c r="N117" i="5"/>
  <c r="L89" i="6"/>
  <c r="J11" i="4"/>
  <c r="J34" i="4"/>
  <c r="G39" i="4"/>
  <c r="AC11" i="4"/>
  <c r="AC32" i="4"/>
  <c r="Q99" i="2"/>
  <c r="R99" i="2"/>
  <c r="Z40" i="4"/>
  <c r="Q125" i="2"/>
  <c r="K125" i="2"/>
  <c r="I125" i="2"/>
  <c r="I82" i="6"/>
  <c r="L82" i="6"/>
  <c r="N96" i="2"/>
  <c r="M20" i="3"/>
  <c r="Q10" i="2"/>
  <c r="K95" i="2"/>
  <c r="M95" i="2"/>
  <c r="Q86" i="2"/>
  <c r="Q90" i="2"/>
  <c r="Q71" i="2"/>
  <c r="R75" i="2"/>
  <c r="M124" i="2"/>
  <c r="R78" i="2"/>
  <c r="L124" i="2"/>
  <c r="R29" i="2"/>
  <c r="K122" i="2"/>
  <c r="N97" i="2"/>
  <c r="M123" i="2"/>
  <c r="L29" i="2"/>
  <c r="Q95" i="2"/>
  <c r="Q73" i="2"/>
  <c r="L97" i="2"/>
  <c r="K123" i="2"/>
  <c r="Q122" i="2"/>
  <c r="J9" i="2"/>
  <c r="I78" i="2"/>
  <c r="I52" i="2"/>
  <c r="N7" i="2"/>
  <c r="M52" i="2"/>
  <c r="M83" i="2"/>
  <c r="L116" i="2"/>
  <c r="J78" i="2"/>
  <c r="L118" i="2"/>
  <c r="N77" i="2"/>
  <c r="R97" i="2"/>
  <c r="K66" i="2"/>
  <c r="M10" i="2"/>
  <c r="L117" i="2"/>
  <c r="R123" i="2"/>
  <c r="K127" i="2"/>
  <c r="L126" i="2"/>
  <c r="M127" i="2"/>
  <c r="N126" i="2"/>
  <c r="P126" i="2"/>
  <c r="O127" i="2"/>
  <c r="Q126" i="2"/>
  <c r="R126" i="2"/>
  <c r="R124" i="2"/>
  <c r="Q124" i="2"/>
  <c r="N122" i="2"/>
  <c r="L102" i="2"/>
  <c r="R28" i="2"/>
  <c r="I95" i="2"/>
  <c r="N121" i="2"/>
  <c r="L100" i="2"/>
  <c r="M122" i="2"/>
  <c r="P127" i="2"/>
  <c r="N99" i="2"/>
  <c r="K80" i="2"/>
  <c r="L80" i="2"/>
  <c r="L31" i="2"/>
  <c r="O74" i="2"/>
  <c r="P74" i="2"/>
  <c r="O52" i="2"/>
  <c r="I170" i="2"/>
  <c r="F66" i="13"/>
  <c r="O10" i="2"/>
  <c r="L43" i="2"/>
  <c r="I177" i="2"/>
  <c r="F73" i="13"/>
  <c r="I176" i="2"/>
  <c r="F72" i="13"/>
  <c r="L40" i="2"/>
  <c r="I175" i="2"/>
  <c r="F71" i="13"/>
  <c r="I174" i="2"/>
  <c r="F70" i="13"/>
  <c r="L38" i="2"/>
  <c r="I173" i="2"/>
  <c r="F69" i="13"/>
  <c r="L37" i="2"/>
  <c r="I172" i="2"/>
  <c r="F68" i="13"/>
  <c r="I171" i="2"/>
  <c r="F67" i="13"/>
  <c r="I108" i="1"/>
  <c r="I109" i="1"/>
  <c r="M116" i="2"/>
  <c r="M118" i="2"/>
  <c r="M117" i="2"/>
  <c r="N118" i="2"/>
  <c r="N100" i="2"/>
  <c r="N117" i="2"/>
  <c r="F4" i="7"/>
  <c r="F6" i="3"/>
  <c r="B3" i="3"/>
  <c r="B2" i="13"/>
  <c r="B2" i="2"/>
  <c r="B64" i="2"/>
  <c r="N44" i="2"/>
  <c r="I178" i="2"/>
  <c r="G74" i="13"/>
  <c r="N42" i="2"/>
  <c r="AE32" i="4"/>
  <c r="AE28" i="4"/>
  <c r="AE24" i="4"/>
  <c r="AF24" i="4"/>
  <c r="M14" i="4"/>
  <c r="H14" i="4"/>
  <c r="AF25" i="4"/>
  <c r="AF18" i="4"/>
  <c r="AF20" i="4"/>
  <c r="AF31" i="4"/>
  <c r="AF35" i="4"/>
  <c r="AF15" i="4"/>
  <c r="AF16" i="4"/>
  <c r="AF29" i="4"/>
  <c r="AF17" i="4"/>
  <c r="L69" i="6"/>
  <c r="F37" i="7"/>
  <c r="H66" i="6"/>
  <c r="F32" i="7"/>
  <c r="F31" i="6"/>
  <c r="H80" i="6"/>
  <c r="J80" i="6"/>
  <c r="F21" i="6"/>
  <c r="J65" i="6"/>
  <c r="O6" i="10"/>
  <c r="P6" i="10"/>
  <c r="F23" i="7"/>
  <c r="F21" i="7"/>
  <c r="K75" i="2"/>
  <c r="I80" i="2"/>
  <c r="R69" i="2"/>
  <c r="L14" i="4"/>
  <c r="T11" i="4"/>
  <c r="T29" i="4"/>
  <c r="O99" i="2"/>
  <c r="Q39" i="4"/>
  <c r="Q40" i="4"/>
  <c r="Q33" i="4"/>
  <c r="V33" i="4"/>
  <c r="W31" i="4"/>
  <c r="V27" i="4"/>
  <c r="R27" i="4"/>
  <c r="M29" i="4"/>
  <c r="M17" i="4"/>
  <c r="M27" i="4"/>
  <c r="M32" i="4"/>
  <c r="M12" i="4"/>
  <c r="M18" i="4"/>
  <c r="M19" i="4"/>
  <c r="M21" i="4"/>
  <c r="F92" i="7"/>
  <c r="L92" i="7" s="1"/>
  <c r="F87" i="6"/>
  <c r="L87" i="6" s="1"/>
  <c r="F28" i="7"/>
  <c r="H47" i="6"/>
  <c r="L46" i="6"/>
  <c r="L44" i="6"/>
  <c r="L68" i="6"/>
  <c r="L59" i="6"/>
  <c r="L54" i="6"/>
  <c r="L92" i="6"/>
  <c r="L63" i="6"/>
  <c r="K81" i="6"/>
  <c r="L70" i="6"/>
  <c r="M22" i="4"/>
  <c r="M15" i="4"/>
  <c r="I69" i="6"/>
  <c r="K11" i="4"/>
  <c r="K23" i="4"/>
  <c r="G40" i="4"/>
  <c r="G41" i="4"/>
  <c r="N39" i="2"/>
  <c r="K52" i="2"/>
  <c r="K30" i="2"/>
  <c r="L27" i="2"/>
  <c r="L35" i="4"/>
  <c r="M35" i="4"/>
  <c r="H26" i="4"/>
  <c r="M26" i="4"/>
  <c r="L52" i="6"/>
  <c r="L49" i="6"/>
  <c r="L71" i="6"/>
  <c r="L72" i="6"/>
  <c r="F17" i="7"/>
  <c r="L23" i="6"/>
  <c r="L23" i="7"/>
  <c r="L67" i="6"/>
  <c r="L47" i="6"/>
  <c r="N28" i="2"/>
  <c r="L35" i="2"/>
  <c r="K65" i="2"/>
  <c r="N74" i="2"/>
  <c r="AF21" i="4"/>
  <c r="M28" i="4"/>
  <c r="V31" i="4"/>
  <c r="R18" i="4"/>
  <c r="R20" i="4"/>
  <c r="R24" i="4"/>
  <c r="R16" i="4"/>
  <c r="Q41" i="4"/>
  <c r="M48" i="5"/>
  <c r="H24" i="4"/>
  <c r="M13" i="4"/>
  <c r="K116" i="2"/>
  <c r="K118" i="2"/>
  <c r="K117" i="2"/>
  <c r="Q105" i="2"/>
  <c r="L74" i="2"/>
  <c r="K74" i="2"/>
  <c r="X20" i="4"/>
  <c r="N33" i="3"/>
  <c r="H17" i="4"/>
  <c r="H13" i="4"/>
  <c r="H21" i="4"/>
  <c r="AD11" i="4"/>
  <c r="AD32" i="4"/>
  <c r="Q100" i="2"/>
  <c r="AF14" i="4"/>
  <c r="V12" i="4"/>
  <c r="W12" i="4"/>
  <c r="R108" i="2"/>
  <c r="H22" i="4"/>
  <c r="V20" i="4"/>
  <c r="H27" i="4"/>
  <c r="I118" i="2"/>
  <c r="I117" i="2"/>
  <c r="I116" i="2"/>
  <c r="N94" i="2"/>
  <c r="X22" i="4"/>
  <c r="V22" i="4"/>
  <c r="W22" i="4"/>
  <c r="N127" i="2"/>
  <c r="M126" i="2"/>
  <c r="Z42" i="4"/>
  <c r="W30" i="4"/>
  <c r="AF12" i="4"/>
  <c r="O14" i="13"/>
  <c r="Q14" i="13"/>
  <c r="D107" i="6"/>
  <c r="D108" i="6"/>
  <c r="D106" i="6"/>
  <c r="L91" i="7"/>
  <c r="R15" i="4"/>
  <c r="R17" i="4"/>
  <c r="R25" i="4"/>
  <c r="V13" i="4"/>
  <c r="J83" i="1"/>
  <c r="J106" i="1"/>
  <c r="J107" i="1" s="1"/>
  <c r="B65" i="2"/>
  <c r="B4" i="3"/>
  <c r="W35" i="4"/>
  <c r="M34" i="4"/>
  <c r="L34" i="4"/>
  <c r="M25" i="4"/>
  <c r="H25" i="4"/>
  <c r="M24" i="4"/>
  <c r="AF22" i="4"/>
  <c r="X21" i="4"/>
  <c r="W21" i="4"/>
  <c r="R21" i="4"/>
  <c r="L20" i="4"/>
  <c r="AG18" i="4"/>
  <c r="AE18" i="4"/>
  <c r="M16" i="4"/>
  <c r="H16" i="4"/>
  <c r="M30" i="4"/>
  <c r="L30" i="4"/>
  <c r="N116" i="2"/>
  <c r="Q84" i="2"/>
  <c r="R14" i="4"/>
  <c r="V30" i="4"/>
  <c r="AE31" i="4"/>
  <c r="H20" i="4"/>
  <c r="R23" i="4"/>
  <c r="R19" i="4"/>
  <c r="V26" i="4"/>
  <c r="AE22" i="4"/>
  <c r="AE12" i="4"/>
  <c r="G33" i="4"/>
  <c r="L81" i="1"/>
  <c r="H65" i="6"/>
  <c r="I65" i="6"/>
  <c r="F73" i="6"/>
  <c r="I73" i="6" s="1"/>
  <c r="L62" i="6"/>
  <c r="I132" i="2"/>
  <c r="I99" i="2"/>
  <c r="L99" i="2"/>
  <c r="F30" i="3"/>
  <c r="J31" i="2"/>
  <c r="D107" i="7"/>
  <c r="W13" i="4"/>
  <c r="R13" i="4"/>
  <c r="R26" i="4"/>
  <c r="L24" i="4"/>
  <c r="V21" i="4"/>
  <c r="W27" i="4"/>
  <c r="H108" i="1"/>
  <c r="H109" i="1"/>
  <c r="AE17" i="4"/>
  <c r="AF23" i="4"/>
  <c r="AF19" i="4"/>
  <c r="AF26" i="4"/>
  <c r="AF30" i="4"/>
  <c r="AF32" i="4"/>
  <c r="AF27" i="4"/>
  <c r="M20" i="4"/>
  <c r="I58" i="5"/>
  <c r="G42" i="4"/>
  <c r="F31" i="3"/>
  <c r="L31" i="3"/>
  <c r="BA18" i="8"/>
  <c r="BB18" i="8"/>
  <c r="O83" i="2"/>
  <c r="AF34" i="4"/>
  <c r="L31" i="4"/>
  <c r="M31" i="4"/>
  <c r="L61" i="6"/>
  <c r="I85" i="1"/>
  <c r="I30" i="2"/>
  <c r="J8" i="2"/>
  <c r="U11" i="4"/>
  <c r="Q42" i="4"/>
  <c r="O100" i="2"/>
  <c r="B62" i="13"/>
  <c r="N13" i="7"/>
  <c r="F49" i="7"/>
  <c r="I49" i="7" s="1"/>
  <c r="J62" i="6"/>
  <c r="K28" i="4"/>
  <c r="L19" i="7"/>
  <c r="R70" i="2"/>
  <c r="Q70" i="2"/>
  <c r="Q76" i="2"/>
  <c r="Q91" i="2"/>
  <c r="Q85" i="2"/>
  <c r="Q106" i="2"/>
  <c r="Q92" i="2"/>
  <c r="R41" i="5"/>
  <c r="G96" i="6"/>
  <c r="G97" i="6"/>
  <c r="H80" i="7"/>
  <c r="J80" i="7"/>
  <c r="AC26" i="4"/>
  <c r="AC35" i="4"/>
  <c r="AC30" i="4"/>
  <c r="AC18" i="4"/>
  <c r="AC24" i="4"/>
  <c r="AC31" i="4"/>
  <c r="AC20" i="4"/>
  <c r="AC27" i="4"/>
  <c r="AC12" i="4"/>
  <c r="L30" i="7"/>
  <c r="L33" i="7"/>
  <c r="L96" i="7"/>
  <c r="L32" i="7"/>
  <c r="J22" i="4"/>
  <c r="J12" i="4"/>
  <c r="L30" i="3"/>
  <c r="J30" i="3"/>
  <c r="N30" i="3"/>
  <c r="K21" i="4"/>
  <c r="K24" i="4"/>
  <c r="K12" i="4"/>
  <c r="K20" i="4"/>
  <c r="K26" i="4"/>
  <c r="K35" i="4"/>
  <c r="K15" i="4"/>
  <c r="N31" i="3"/>
  <c r="J31" i="3"/>
  <c r="M106" i="1"/>
  <c r="M107" i="1" s="1"/>
  <c r="AA18" i="4"/>
  <c r="AF13" i="4"/>
  <c r="Z33" i="4"/>
  <c r="AC33" i="4"/>
  <c r="K73" i="2"/>
  <c r="I90" i="2"/>
  <c r="K69" i="2"/>
  <c r="M90" i="2"/>
  <c r="O86" i="2"/>
  <c r="O89" i="2"/>
  <c r="O123" i="2"/>
  <c r="P123" i="2"/>
  <c r="I69" i="2"/>
  <c r="K52" i="3"/>
  <c r="M15" i="3"/>
  <c r="I18" i="3"/>
  <c r="O71" i="2"/>
  <c r="M16" i="3"/>
  <c r="M72" i="2"/>
  <c r="M91" i="2"/>
  <c r="I89" i="2"/>
  <c r="M75" i="2"/>
  <c r="M53" i="3"/>
  <c r="I21" i="3"/>
  <c r="K18" i="3"/>
  <c r="M69" i="2"/>
  <c r="K20" i="3"/>
  <c r="K14" i="3"/>
  <c r="M13" i="3"/>
  <c r="I14" i="3"/>
  <c r="K13" i="3"/>
  <c r="M71" i="2"/>
  <c r="I20" i="3"/>
  <c r="K70" i="2"/>
  <c r="K15" i="3"/>
  <c r="I71" i="2"/>
  <c r="M88" i="2"/>
  <c r="I70" i="2"/>
  <c r="I111" i="2"/>
  <c r="O72" i="2"/>
  <c r="M73" i="2"/>
  <c r="O69" i="2"/>
  <c r="O75" i="2"/>
  <c r="K71" i="2"/>
  <c r="O77" i="2"/>
  <c r="O88" i="2"/>
  <c r="O122" i="2"/>
  <c r="P122" i="2"/>
  <c r="I72" i="2"/>
  <c r="O78" i="2"/>
  <c r="I73" i="2"/>
  <c r="O90" i="2"/>
  <c r="O91" i="2"/>
  <c r="M18" i="3"/>
  <c r="M52" i="3"/>
  <c r="I51" i="3"/>
  <c r="M51" i="3"/>
  <c r="O80" i="2"/>
  <c r="I16" i="3"/>
  <c r="K72" i="2"/>
  <c r="K78" i="2"/>
  <c r="M89" i="2"/>
  <c r="O73" i="2"/>
  <c r="M86" i="2"/>
  <c r="M12" i="3"/>
  <c r="K16" i="3"/>
  <c r="I52" i="3"/>
  <c r="M48" i="3"/>
  <c r="M47" i="3"/>
  <c r="M54" i="3"/>
  <c r="I13" i="3"/>
  <c r="K77" i="2"/>
  <c r="M80" i="2"/>
  <c r="K12" i="3"/>
  <c r="I12" i="3"/>
  <c r="K17" i="3"/>
  <c r="I15" i="3"/>
  <c r="M14" i="3"/>
  <c r="M46" i="3"/>
  <c r="K51" i="3"/>
  <c r="L7" i="2"/>
  <c r="J27" i="2"/>
  <c r="L8" i="2"/>
  <c r="L26" i="2"/>
  <c r="J26" i="2"/>
  <c r="L25" i="2"/>
  <c r="J25" i="2"/>
  <c r="AA25" i="4"/>
  <c r="AA19" i="4"/>
  <c r="AA22" i="4"/>
  <c r="AA23" i="4"/>
  <c r="AA15" i="4"/>
  <c r="AA24" i="4"/>
  <c r="AA16" i="4"/>
  <c r="AA20" i="4"/>
  <c r="AA26" i="4"/>
  <c r="AA27" i="4"/>
  <c r="AA17" i="4"/>
  <c r="AA14" i="4"/>
  <c r="AA21" i="4"/>
  <c r="AE13" i="4"/>
  <c r="K96" i="1"/>
  <c r="M34" i="2"/>
  <c r="K106" i="1"/>
  <c r="M45" i="2" s="1"/>
  <c r="N45" i="2" s="1"/>
  <c r="Q30" i="2"/>
  <c r="Q133" i="2"/>
  <c r="Q134" i="2"/>
  <c r="R10" i="2"/>
  <c r="L10" i="2"/>
  <c r="J10" i="2"/>
  <c r="F19" i="3"/>
  <c r="G18" i="3"/>
  <c r="F41" i="3"/>
  <c r="F44" i="3"/>
  <c r="L9" i="2"/>
  <c r="K32" i="2"/>
  <c r="L32" i="2"/>
  <c r="K8" i="13"/>
  <c r="K15" i="13"/>
  <c r="K17" i="13"/>
  <c r="K53" i="2"/>
  <c r="L53" i="2"/>
  <c r="K133" i="2"/>
  <c r="K134" i="2"/>
  <c r="L95" i="7"/>
  <c r="L17" i="7"/>
  <c r="AD23" i="4"/>
  <c r="AD34" i="4"/>
  <c r="L24" i="7"/>
  <c r="L34" i="7"/>
  <c r="L29" i="7"/>
  <c r="L37" i="7"/>
  <c r="L25" i="7"/>
  <c r="L36" i="7"/>
  <c r="K14" i="4"/>
  <c r="K30" i="4"/>
  <c r="Q111" i="2"/>
  <c r="R111" i="2"/>
  <c r="J26" i="4"/>
  <c r="J20" i="4"/>
  <c r="J19" i="4"/>
  <c r="J27" i="4"/>
  <c r="J29" i="4"/>
  <c r="J18" i="4"/>
  <c r="AC17" i="4"/>
  <c r="AC22" i="4"/>
  <c r="AC23" i="4"/>
  <c r="AC13" i="4"/>
  <c r="AC34" i="4"/>
  <c r="J17" i="4"/>
  <c r="J35" i="4"/>
  <c r="J14" i="4"/>
  <c r="R106" i="2"/>
  <c r="J32" i="4"/>
  <c r="J31" i="4"/>
  <c r="J30" i="4"/>
  <c r="J28" i="4"/>
  <c r="J25" i="4"/>
  <c r="T30" i="4"/>
  <c r="T21" i="4"/>
  <c r="T20" i="4"/>
  <c r="T31" i="4"/>
  <c r="T26" i="4"/>
  <c r="AC28" i="4"/>
  <c r="F20" i="6"/>
  <c r="K48" i="6" s="1"/>
  <c r="AC21" i="4"/>
  <c r="AC29" i="4"/>
  <c r="AC25" i="4"/>
  <c r="T27" i="4"/>
  <c r="J15" i="4"/>
  <c r="J24" i="4"/>
  <c r="J21" i="4"/>
  <c r="J16" i="4"/>
  <c r="J13" i="4"/>
  <c r="J23" i="4"/>
  <c r="AC16" i="4"/>
  <c r="AC19" i="4"/>
  <c r="AC15" i="4"/>
  <c r="AC14" i="4"/>
  <c r="T35" i="4"/>
  <c r="T34" i="4"/>
  <c r="T24" i="4"/>
  <c r="T12" i="4"/>
  <c r="F29" i="3"/>
  <c r="K89" i="2"/>
  <c r="K90" i="2"/>
  <c r="K91" i="2"/>
  <c r="K88" i="2"/>
  <c r="K86" i="2"/>
  <c r="F9" i="3"/>
  <c r="I88" i="2"/>
  <c r="I86" i="2"/>
  <c r="I91" i="2"/>
  <c r="F69" i="7"/>
  <c r="J69" i="7"/>
  <c r="F48" i="7"/>
  <c r="I48" i="7"/>
  <c r="F67" i="7"/>
  <c r="H67" i="7" s="1"/>
  <c r="F59" i="7"/>
  <c r="L59" i="7"/>
  <c r="F84" i="7"/>
  <c r="F83" i="7"/>
  <c r="F82" i="7"/>
  <c r="F80" i="7"/>
  <c r="O30" i="2"/>
  <c r="P31" i="2"/>
  <c r="O70" i="2"/>
  <c r="O111" i="2"/>
  <c r="M30" i="2"/>
  <c r="N19" i="2"/>
  <c r="M70" i="2"/>
  <c r="AD12" i="4"/>
  <c r="AD25" i="4"/>
  <c r="AD14" i="4"/>
  <c r="AD17" i="4"/>
  <c r="AD13" i="4"/>
  <c r="AD15" i="4"/>
  <c r="AD20" i="4"/>
  <c r="AD18" i="4"/>
  <c r="AD16" i="4"/>
  <c r="AD21" i="4"/>
  <c r="AD27" i="4"/>
  <c r="AD22" i="4"/>
  <c r="AD19" i="4"/>
  <c r="L36" i="6"/>
  <c r="Q118" i="2"/>
  <c r="F48" i="3"/>
  <c r="Q117" i="2"/>
  <c r="F47" i="3"/>
  <c r="Q116" i="2"/>
  <c r="F46" i="3"/>
  <c r="R112" i="2"/>
  <c r="R107" i="2"/>
  <c r="Q107" i="2"/>
  <c r="R117" i="2"/>
  <c r="R116" i="2"/>
  <c r="R100" i="2"/>
  <c r="R118" i="2"/>
  <c r="Q112" i="2"/>
  <c r="L32" i="6"/>
  <c r="G91" i="6"/>
  <c r="G93" i="6"/>
  <c r="G92" i="6"/>
  <c r="G88" i="6"/>
  <c r="G89" i="6"/>
  <c r="T32" i="4"/>
  <c r="T18" i="4"/>
  <c r="T25" i="4"/>
  <c r="T28" i="4"/>
  <c r="T15" i="4"/>
  <c r="T16" i="4"/>
  <c r="T19" i="4"/>
  <c r="T14" i="4"/>
  <c r="T22" i="4"/>
  <c r="T23" i="4"/>
  <c r="T13" i="4"/>
  <c r="T17" i="4"/>
  <c r="J48" i="6"/>
  <c r="AD28" i="4"/>
  <c r="O117" i="2"/>
  <c r="O116" i="2"/>
  <c r="O118" i="2"/>
  <c r="AD31" i="4"/>
  <c r="K81" i="7"/>
  <c r="L49" i="7"/>
  <c r="J49" i="7"/>
  <c r="L97" i="7"/>
  <c r="AD24" i="4"/>
  <c r="Q36" i="4"/>
  <c r="S33" i="4"/>
  <c r="T33" i="4"/>
  <c r="F87" i="7"/>
  <c r="F20" i="7" s="1"/>
  <c r="J67" i="6"/>
  <c r="L22" i="6"/>
  <c r="L22" i="7"/>
  <c r="J72" i="6"/>
  <c r="J63" i="6"/>
  <c r="J59" i="6"/>
  <c r="L29" i="6"/>
  <c r="J46" i="6"/>
  <c r="L97" i="6"/>
  <c r="J44" i="6"/>
  <c r="L25" i="6"/>
  <c r="J47" i="6"/>
  <c r="J64" i="6"/>
  <c r="J50" i="6"/>
  <c r="L24" i="6"/>
  <c r="L26" i="6"/>
  <c r="J60" i="6"/>
  <c r="L95" i="6"/>
  <c r="L17" i="6"/>
  <c r="J70" i="6"/>
  <c r="L96" i="6"/>
  <c r="J68" i="6"/>
  <c r="J49" i="6"/>
  <c r="L34" i="6"/>
  <c r="J61" i="6"/>
  <c r="J71" i="6"/>
  <c r="L33" i="6"/>
  <c r="L38" i="6"/>
  <c r="J66" i="6"/>
  <c r="J52" i="6"/>
  <c r="L30" i="6"/>
  <c r="AD30" i="4"/>
  <c r="AD29" i="4"/>
  <c r="U33" i="4"/>
  <c r="AD35" i="4"/>
  <c r="AD26" i="4"/>
  <c r="W33" i="4"/>
  <c r="L27" i="6"/>
  <c r="J54" i="6"/>
  <c r="L30" i="2"/>
  <c r="K60" i="2"/>
  <c r="L60" i="2"/>
  <c r="K18" i="4"/>
  <c r="K22" i="4"/>
  <c r="K29" i="4"/>
  <c r="K25" i="4"/>
  <c r="K27" i="4"/>
  <c r="K34" i="4"/>
  <c r="K17" i="4"/>
  <c r="K32" i="4"/>
  <c r="K13" i="4"/>
  <c r="K16" i="4"/>
  <c r="K31" i="4"/>
  <c r="K19" i="4"/>
  <c r="L37" i="6"/>
  <c r="L31" i="6"/>
  <c r="J69" i="6"/>
  <c r="L35" i="6"/>
  <c r="K45" i="2"/>
  <c r="L45" i="2" s="1"/>
  <c r="U30" i="4"/>
  <c r="F47" i="7"/>
  <c r="L47" i="7" s="1"/>
  <c r="H47" i="7"/>
  <c r="F43" i="3"/>
  <c r="J45" i="6"/>
  <c r="L73" i="6"/>
  <c r="L106" i="1"/>
  <c r="O45" i="2" s="1"/>
  <c r="P45" i="2" s="1"/>
  <c r="L83" i="1"/>
  <c r="J85" i="1"/>
  <c r="J96" i="1"/>
  <c r="Q34" i="2"/>
  <c r="M110" i="1"/>
  <c r="I8" i="13"/>
  <c r="I15" i="13"/>
  <c r="L55" i="2"/>
  <c r="L57" i="2"/>
  <c r="N52" i="2"/>
  <c r="R56" i="2"/>
  <c r="L56" i="2"/>
  <c r="N57" i="2"/>
  <c r="L54" i="2"/>
  <c r="P55" i="2"/>
  <c r="R57" i="2"/>
  <c r="J56" i="2"/>
  <c r="J30" i="2"/>
  <c r="I60" i="2"/>
  <c r="J60" i="2"/>
  <c r="P57" i="2"/>
  <c r="N56" i="2"/>
  <c r="L52" i="2"/>
  <c r="N54" i="2"/>
  <c r="J57" i="2"/>
  <c r="R54" i="2"/>
  <c r="J54" i="2"/>
  <c r="P52" i="2"/>
  <c r="I32" i="2"/>
  <c r="J32" i="2"/>
  <c r="I133" i="2"/>
  <c r="J55" i="2"/>
  <c r="R55" i="2"/>
  <c r="N55" i="2"/>
  <c r="R52" i="2"/>
  <c r="P54" i="2"/>
  <c r="P56" i="2"/>
  <c r="I53" i="2"/>
  <c r="I87" i="2"/>
  <c r="J52" i="2"/>
  <c r="F42" i="3"/>
  <c r="L33" i="4"/>
  <c r="G36" i="4"/>
  <c r="K33" i="4"/>
  <c r="J33" i="4"/>
  <c r="M33" i="4"/>
  <c r="U18" i="4"/>
  <c r="U22" i="4"/>
  <c r="U14" i="4"/>
  <c r="U34" i="4"/>
  <c r="U25" i="4"/>
  <c r="U29" i="4"/>
  <c r="U24" i="4"/>
  <c r="U23" i="4"/>
  <c r="U16" i="4"/>
  <c r="U31" i="4"/>
  <c r="U12" i="4"/>
  <c r="U19" i="4"/>
  <c r="U32" i="4"/>
  <c r="U27" i="4"/>
  <c r="U28" i="4"/>
  <c r="U20" i="4"/>
  <c r="U17" i="4"/>
  <c r="U21" i="4"/>
  <c r="U15" i="4"/>
  <c r="U26" i="4"/>
  <c r="U13" i="4"/>
  <c r="U35" i="4"/>
  <c r="P116" i="2"/>
  <c r="P118" i="2"/>
  <c r="P117" i="2"/>
  <c r="AF81" i="8"/>
  <c r="AF108" i="8"/>
  <c r="AF24" i="8"/>
  <c r="AF20" i="8"/>
  <c r="AF7" i="8"/>
  <c r="AF38" i="8"/>
  <c r="AF53" i="8"/>
  <c r="AF70" i="8"/>
  <c r="AF105" i="8"/>
  <c r="AF41" i="8"/>
  <c r="AF92" i="8"/>
  <c r="AF64" i="8"/>
  <c r="AF90" i="8"/>
  <c r="AF103" i="8"/>
  <c r="AF97" i="8"/>
  <c r="AF110" i="8"/>
  <c r="AF32" i="8"/>
  <c r="AF109" i="8"/>
  <c r="AF85" i="8"/>
  <c r="AF47" i="8"/>
  <c r="AF95" i="8"/>
  <c r="AF71" i="8"/>
  <c r="AF51" i="8"/>
  <c r="AF19" i="8"/>
  <c r="AF59" i="8"/>
  <c r="AF46" i="8"/>
  <c r="AF58" i="8"/>
  <c r="AF23" i="8"/>
  <c r="AF104" i="8"/>
  <c r="AF82" i="8"/>
  <c r="AF88" i="8"/>
  <c r="AF91" i="8"/>
  <c r="AF12" i="8"/>
  <c r="AF44" i="8"/>
  <c r="AF9" i="8"/>
  <c r="AF35" i="8"/>
  <c r="AF37" i="8"/>
  <c r="AF18" i="8"/>
  <c r="AF40" i="8"/>
  <c r="AF10" i="8"/>
  <c r="AF93" i="8"/>
  <c r="AF98" i="8"/>
  <c r="AF26" i="8"/>
  <c r="AF27" i="8"/>
  <c r="AF6" i="8"/>
  <c r="AF30" i="8"/>
  <c r="AF15" i="8"/>
  <c r="AF57" i="8"/>
  <c r="AF62" i="8"/>
  <c r="AF45" i="8"/>
  <c r="AF28" i="8"/>
  <c r="AF68" i="8"/>
  <c r="AF76" i="8"/>
  <c r="AF69" i="8"/>
  <c r="AF66" i="8"/>
  <c r="AF5" i="8"/>
  <c r="AF49" i="8"/>
  <c r="AF74" i="8"/>
  <c r="AF29" i="8"/>
  <c r="AF73" i="8"/>
  <c r="AF60" i="8"/>
  <c r="AF34" i="8"/>
  <c r="AF99" i="8"/>
  <c r="AF107" i="8"/>
  <c r="AF56" i="8"/>
  <c r="AF89" i="8"/>
  <c r="AF17" i="8"/>
  <c r="AF50" i="8"/>
  <c r="AF83" i="8"/>
  <c r="AF14" i="8"/>
  <c r="AF67" i="8"/>
  <c r="AF55" i="8"/>
  <c r="AF101" i="8"/>
  <c r="AF42" i="8"/>
  <c r="AF22" i="8"/>
  <c r="AF106" i="8"/>
  <c r="AF16" i="8"/>
  <c r="AF96" i="8"/>
  <c r="AF3" i="8"/>
  <c r="AF79" i="8"/>
  <c r="AF33" i="8"/>
  <c r="AF77" i="8"/>
  <c r="AF8" i="8"/>
  <c r="AF84" i="8"/>
  <c r="AF86" i="8"/>
  <c r="AF63" i="8"/>
  <c r="AF52" i="8"/>
  <c r="AF4" i="8"/>
  <c r="AF43" i="8"/>
  <c r="AF25" i="8"/>
  <c r="AF78" i="8"/>
  <c r="AF75" i="8"/>
  <c r="AF36" i="8"/>
  <c r="F50" i="7"/>
  <c r="J50" i="7" s="1"/>
  <c r="F60" i="7"/>
  <c r="I60" i="7"/>
  <c r="F72" i="7"/>
  <c r="I72" i="7" s="1"/>
  <c r="F68" i="7"/>
  <c r="I68" i="7"/>
  <c r="F63" i="7"/>
  <c r="I63" i="7"/>
  <c r="F62" i="7"/>
  <c r="I62" i="7"/>
  <c r="F61" i="7"/>
  <c r="F52" i="7"/>
  <c r="I52" i="7" s="1"/>
  <c r="F46" i="7"/>
  <c r="I46" i="7"/>
  <c r="F44" i="7"/>
  <c r="F51" i="7" s="1"/>
  <c r="F54" i="7"/>
  <c r="I54" i="7" s="1"/>
  <c r="F66" i="7"/>
  <c r="H66" i="7" s="1"/>
  <c r="L66" i="7"/>
  <c r="F65" i="7"/>
  <c r="L65" i="7" s="1"/>
  <c r="F71" i="7"/>
  <c r="J71" i="7"/>
  <c r="F70" i="7"/>
  <c r="I70" i="7"/>
  <c r="F64" i="7"/>
  <c r="R30" i="2"/>
  <c r="K73" i="6"/>
  <c r="K62" i="6"/>
  <c r="AD33" i="4"/>
  <c r="Z36" i="4"/>
  <c r="AB13" i="4"/>
  <c r="J29" i="3"/>
  <c r="L29" i="3"/>
  <c r="N29" i="3"/>
  <c r="AE33" i="4"/>
  <c r="AF33" i="4"/>
  <c r="N9" i="2"/>
  <c r="N31" i="2"/>
  <c r="L48" i="7"/>
  <c r="L67" i="7"/>
  <c r="I69" i="7"/>
  <c r="O92" i="2"/>
  <c r="Q41" i="5"/>
  <c r="I92" i="2"/>
  <c r="N41" i="5"/>
  <c r="I76" i="2"/>
  <c r="J72" i="2"/>
  <c r="K76" i="2"/>
  <c r="L73" i="2"/>
  <c r="O125" i="2"/>
  <c r="I19" i="3"/>
  <c r="I37" i="3"/>
  <c r="K19" i="3"/>
  <c r="L14" i="3"/>
  <c r="M41" i="3"/>
  <c r="N41" i="3"/>
  <c r="M43" i="3"/>
  <c r="N43" i="3"/>
  <c r="M42" i="3"/>
  <c r="N42" i="3"/>
  <c r="M44" i="3"/>
  <c r="N44" i="3"/>
  <c r="K110" i="2"/>
  <c r="K111" i="2"/>
  <c r="L111" i="2"/>
  <c r="K112" i="2"/>
  <c r="K113" i="2"/>
  <c r="M92" i="2"/>
  <c r="P41" i="5"/>
  <c r="I44" i="3"/>
  <c r="J44" i="3"/>
  <c r="I41" i="3"/>
  <c r="J41" i="3"/>
  <c r="I43" i="3"/>
  <c r="J43" i="3"/>
  <c r="I42" i="3"/>
  <c r="J42" i="3"/>
  <c r="M19" i="3"/>
  <c r="N18" i="3"/>
  <c r="I113" i="2"/>
  <c r="I112" i="2"/>
  <c r="I110" i="2"/>
  <c r="K42" i="3"/>
  <c r="L42" i="3"/>
  <c r="K44" i="3"/>
  <c r="L44" i="3"/>
  <c r="K43" i="3"/>
  <c r="L43" i="3"/>
  <c r="K41" i="3"/>
  <c r="L41" i="3"/>
  <c r="P29" i="2"/>
  <c r="P7" i="2"/>
  <c r="N27" i="2"/>
  <c r="N29" i="2"/>
  <c r="K16" i="13"/>
  <c r="P26" i="2"/>
  <c r="P27" i="2"/>
  <c r="G15" i="3"/>
  <c r="G16" i="3"/>
  <c r="N25" i="2"/>
  <c r="N26" i="2"/>
  <c r="P24" i="2"/>
  <c r="P25" i="2"/>
  <c r="F36" i="3"/>
  <c r="G14" i="3"/>
  <c r="N23" i="2"/>
  <c r="N24" i="2"/>
  <c r="P22" i="2"/>
  <c r="P23" i="2"/>
  <c r="Q60" i="2"/>
  <c r="N21" i="2"/>
  <c r="N22" i="2"/>
  <c r="Q8" i="13"/>
  <c r="Q15" i="13"/>
  <c r="Q17" i="13"/>
  <c r="L69" i="7"/>
  <c r="P20" i="2"/>
  <c r="P21" i="2"/>
  <c r="N18" i="2"/>
  <c r="N20" i="2"/>
  <c r="P17" i="2"/>
  <c r="P18" i="2"/>
  <c r="Q135" i="2"/>
  <c r="J67" i="7"/>
  <c r="R53" i="2"/>
  <c r="Q53" i="2"/>
  <c r="N16" i="2"/>
  <c r="N17" i="2"/>
  <c r="K107" i="1"/>
  <c r="K108" i="1" s="1"/>
  <c r="O112" i="2"/>
  <c r="P15" i="2"/>
  <c r="P16" i="2"/>
  <c r="N14" i="2"/>
  <c r="N15" i="2"/>
  <c r="P13" i="2"/>
  <c r="P14" i="2"/>
  <c r="N12" i="2"/>
  <c r="N13" i="2"/>
  <c r="J60" i="7"/>
  <c r="Q79" i="2"/>
  <c r="R79" i="2"/>
  <c r="P11" i="2"/>
  <c r="P12" i="2"/>
  <c r="I59" i="7"/>
  <c r="F73" i="7"/>
  <c r="J73" i="7" s="1"/>
  <c r="O76" i="2"/>
  <c r="P75" i="2"/>
  <c r="O113" i="2"/>
  <c r="O110" i="2"/>
  <c r="P10" i="2"/>
  <c r="M8" i="13"/>
  <c r="M15" i="13"/>
  <c r="M17" i="13"/>
  <c r="N11" i="2"/>
  <c r="G13" i="3"/>
  <c r="F22" i="3"/>
  <c r="N10" i="2"/>
  <c r="M76" i="2"/>
  <c r="M111" i="2"/>
  <c r="M112" i="2"/>
  <c r="M110" i="2"/>
  <c r="M113" i="2"/>
  <c r="K87" i="2"/>
  <c r="K85" i="2"/>
  <c r="G12" i="3"/>
  <c r="F37" i="3"/>
  <c r="K135" i="2"/>
  <c r="F38" i="3"/>
  <c r="J53" i="2"/>
  <c r="F39" i="3"/>
  <c r="P8" i="2"/>
  <c r="P9" i="2"/>
  <c r="M60" i="2"/>
  <c r="N60" i="2"/>
  <c r="N8" i="2"/>
  <c r="K44" i="6"/>
  <c r="L40" i="6"/>
  <c r="K59" i="6"/>
  <c r="K70" i="6"/>
  <c r="K64" i="6"/>
  <c r="K72" i="6"/>
  <c r="L20" i="6"/>
  <c r="K65" i="6"/>
  <c r="K69" i="6"/>
  <c r="K60" i="6"/>
  <c r="L39" i="6"/>
  <c r="K66" i="6"/>
  <c r="K61" i="6"/>
  <c r="K67" i="6"/>
  <c r="K50" i="6"/>
  <c r="K49" i="6"/>
  <c r="K68" i="6"/>
  <c r="K47" i="6"/>
  <c r="K54" i="6"/>
  <c r="K71" i="6"/>
  <c r="K52" i="6"/>
  <c r="K46" i="6"/>
  <c r="K63" i="6"/>
  <c r="R76" i="2"/>
  <c r="I85" i="2"/>
  <c r="K92" i="2"/>
  <c r="O41" i="5"/>
  <c r="L60" i="7"/>
  <c r="L62" i="7"/>
  <c r="M133" i="2"/>
  <c r="M135" i="2"/>
  <c r="I66" i="7"/>
  <c r="J63" i="7"/>
  <c r="O8" i="13"/>
  <c r="O15" i="13"/>
  <c r="O60" i="2"/>
  <c r="P60" i="2"/>
  <c r="O32" i="2"/>
  <c r="P32" i="2"/>
  <c r="O133" i="2"/>
  <c r="P30" i="2"/>
  <c r="O53" i="2"/>
  <c r="O87" i="2"/>
  <c r="M53" i="2"/>
  <c r="M87" i="2"/>
  <c r="M85" i="2"/>
  <c r="N30" i="2"/>
  <c r="M32" i="2"/>
  <c r="N32" i="2"/>
  <c r="S36" i="4"/>
  <c r="S28" i="4"/>
  <c r="W36" i="4"/>
  <c r="V36" i="4"/>
  <c r="T36" i="4"/>
  <c r="S12" i="4"/>
  <c r="S29" i="4"/>
  <c r="S34" i="4"/>
  <c r="S31" i="4"/>
  <c r="S30" i="4"/>
  <c r="S35" i="4"/>
  <c r="S13" i="4"/>
  <c r="S32" i="4"/>
  <c r="J66" i="7"/>
  <c r="L63" i="7"/>
  <c r="U36" i="4"/>
  <c r="L87" i="7"/>
  <c r="L71" i="7"/>
  <c r="I47" i="7"/>
  <c r="I16" i="13"/>
  <c r="I17" i="13"/>
  <c r="F51" i="6"/>
  <c r="I51" i="6" s="1"/>
  <c r="I29" i="4"/>
  <c r="I36" i="4"/>
  <c r="L36" i="4"/>
  <c r="I35" i="4"/>
  <c r="I28" i="4"/>
  <c r="I12" i="4"/>
  <c r="K36" i="4"/>
  <c r="I30" i="4"/>
  <c r="M36" i="4"/>
  <c r="J36" i="4"/>
  <c r="I13" i="4"/>
  <c r="I31" i="4"/>
  <c r="I32" i="4"/>
  <c r="I34" i="4"/>
  <c r="I135" i="2"/>
  <c r="I134" i="2"/>
  <c r="K34" i="2"/>
  <c r="J110" i="1"/>
  <c r="L52" i="7"/>
  <c r="I33" i="4"/>
  <c r="L96" i="1"/>
  <c r="L85" i="1"/>
  <c r="I64" i="7"/>
  <c r="L61" i="7"/>
  <c r="J52" i="7"/>
  <c r="J62" i="7"/>
  <c r="J70" i="7"/>
  <c r="L70" i="7"/>
  <c r="I71" i="7"/>
  <c r="AF36" i="4"/>
  <c r="AC36" i="4"/>
  <c r="AB35" i="4"/>
  <c r="AB32" i="4"/>
  <c r="AD36" i="4"/>
  <c r="AB30" i="4"/>
  <c r="AB12" i="4"/>
  <c r="AE36" i="4"/>
  <c r="AB31" i="4"/>
  <c r="AB34" i="4"/>
  <c r="AB33" i="4"/>
  <c r="AB29" i="4"/>
  <c r="Q16" i="13"/>
  <c r="AB36" i="4"/>
  <c r="AB28" i="4"/>
  <c r="N75" i="2"/>
  <c r="N78" i="2"/>
  <c r="J37" i="3"/>
  <c r="L70" i="2"/>
  <c r="F52" i="3"/>
  <c r="K108" i="2"/>
  <c r="N111" i="2"/>
  <c r="F53" i="3"/>
  <c r="K79" i="2"/>
  <c r="F54" i="3"/>
  <c r="L76" i="2"/>
  <c r="K107" i="2"/>
  <c r="L78" i="2"/>
  <c r="K106" i="2"/>
  <c r="K105" i="2"/>
  <c r="L69" i="2"/>
  <c r="L72" i="2"/>
  <c r="L71" i="2"/>
  <c r="L77" i="2"/>
  <c r="J76" i="2"/>
  <c r="J69" i="2"/>
  <c r="J13" i="3"/>
  <c r="J71" i="2"/>
  <c r="J70" i="2"/>
  <c r="I79" i="2"/>
  <c r="I81" i="2"/>
  <c r="I107" i="2"/>
  <c r="I105" i="2"/>
  <c r="L105" i="2"/>
  <c r="I108" i="2"/>
  <c r="J73" i="2"/>
  <c r="I36" i="3"/>
  <c r="J36" i="3"/>
  <c r="K36" i="3"/>
  <c r="L36" i="3"/>
  <c r="L17" i="3"/>
  <c r="L15" i="3"/>
  <c r="K38" i="3"/>
  <c r="L38" i="3"/>
  <c r="L13" i="3"/>
  <c r="K39" i="3"/>
  <c r="L39" i="3"/>
  <c r="I106" i="2"/>
  <c r="I39" i="3"/>
  <c r="J39" i="3"/>
  <c r="I38" i="3"/>
  <c r="J38" i="3"/>
  <c r="J16" i="3"/>
  <c r="J14" i="3"/>
  <c r="K22" i="3"/>
  <c r="N112" i="2"/>
  <c r="K37" i="3"/>
  <c r="L37" i="3"/>
  <c r="N80" i="2"/>
  <c r="L16" i="3"/>
  <c r="J18" i="3"/>
  <c r="I22" i="3"/>
  <c r="L12" i="3"/>
  <c r="L18" i="3"/>
  <c r="J12" i="3"/>
  <c r="J15" i="3"/>
  <c r="L110" i="2"/>
  <c r="L113" i="2"/>
  <c r="P77" i="2"/>
  <c r="L112" i="2"/>
  <c r="P80" i="2"/>
  <c r="M37" i="3"/>
  <c r="N37" i="3"/>
  <c r="M38" i="3"/>
  <c r="N38" i="3"/>
  <c r="M36" i="3"/>
  <c r="N36" i="3"/>
  <c r="M39" i="3"/>
  <c r="N39" i="3"/>
  <c r="M22" i="3"/>
  <c r="N16" i="3"/>
  <c r="N12" i="3"/>
  <c r="N14" i="3"/>
  <c r="N15" i="3"/>
  <c r="N13" i="3"/>
  <c r="O85" i="2"/>
  <c r="P121" i="2"/>
  <c r="P72" i="2"/>
  <c r="P73" i="2"/>
  <c r="N72" i="2"/>
  <c r="N73" i="2"/>
  <c r="P76" i="2"/>
  <c r="P71" i="2"/>
  <c r="N70" i="2"/>
  <c r="N71" i="2"/>
  <c r="M79" i="2"/>
  <c r="N79" i="2"/>
  <c r="N76" i="2"/>
  <c r="P53" i="2"/>
  <c r="O79" i="2"/>
  <c r="P79" i="2"/>
  <c r="O105" i="2"/>
  <c r="P69" i="2"/>
  <c r="M106" i="2"/>
  <c r="P70" i="2"/>
  <c r="O108" i="2"/>
  <c r="M16" i="13"/>
  <c r="L73" i="7"/>
  <c r="P78" i="2"/>
  <c r="O106" i="2"/>
  <c r="O107" i="2"/>
  <c r="M107" i="2"/>
  <c r="P110" i="2"/>
  <c r="N110" i="2"/>
  <c r="P112" i="2"/>
  <c r="M105" i="2"/>
  <c r="N69" i="2"/>
  <c r="P111" i="2"/>
  <c r="M108" i="2"/>
  <c r="N108" i="2"/>
  <c r="P113" i="2"/>
  <c r="N113" i="2"/>
  <c r="N53" i="2"/>
  <c r="M134" i="2"/>
  <c r="O17" i="13"/>
  <c r="O16" i="13"/>
  <c r="O135" i="2"/>
  <c r="O134" i="2"/>
  <c r="O34" i="2"/>
  <c r="G80" i="6"/>
  <c r="L110" i="1"/>
  <c r="K110" i="1"/>
  <c r="L107" i="2"/>
  <c r="P35" i="2"/>
  <c r="F51" i="3"/>
  <c r="J79" i="2"/>
  <c r="K81" i="2"/>
  <c r="L79" i="2"/>
  <c r="N106" i="2"/>
  <c r="L108" i="2"/>
  <c r="L106" i="2"/>
  <c r="O81" i="2"/>
  <c r="M81" i="2"/>
  <c r="P105" i="2"/>
  <c r="P106" i="2"/>
  <c r="P108" i="2"/>
  <c r="P107" i="2"/>
  <c r="N107" i="2"/>
  <c r="N105" i="2"/>
  <c r="K64" i="7" l="1"/>
  <c r="K71" i="7"/>
  <c r="K49" i="7"/>
  <c r="K68" i="7"/>
  <c r="K69" i="7"/>
  <c r="K60" i="7"/>
  <c r="K52" i="7"/>
  <c r="K48" i="7"/>
  <c r="K70" i="7"/>
  <c r="L40" i="7"/>
  <c r="K66" i="7"/>
  <c r="K62" i="7"/>
  <c r="L20" i="7"/>
  <c r="K63" i="7"/>
  <c r="K54" i="7"/>
  <c r="K67" i="7"/>
  <c r="K59" i="7"/>
  <c r="G90" i="6"/>
  <c r="K46" i="7"/>
  <c r="K61" i="7"/>
  <c r="J54" i="7"/>
  <c r="L54" i="7"/>
  <c r="H52" i="7"/>
  <c r="G63" i="7"/>
  <c r="I51" i="7"/>
  <c r="G72" i="7"/>
  <c r="G51" i="7"/>
  <c r="G83" i="7"/>
  <c r="G82" i="7"/>
  <c r="G62" i="7"/>
  <c r="K51" i="7"/>
  <c r="J51" i="7"/>
  <c r="G46" i="7"/>
  <c r="G52" i="7"/>
  <c r="G54" i="7"/>
  <c r="G70" i="7"/>
  <c r="G84" i="7"/>
  <c r="F53" i="7"/>
  <c r="G71" i="7"/>
  <c r="G49" i="7"/>
  <c r="L51" i="7"/>
  <c r="F79" i="7"/>
  <c r="G61" i="7"/>
  <c r="G66" i="7"/>
  <c r="G60" i="7"/>
  <c r="G69" i="7"/>
  <c r="G67" i="7"/>
  <c r="G80" i="7"/>
  <c r="G48" i="7"/>
  <c r="I44" i="7"/>
  <c r="L44" i="7"/>
  <c r="G68" i="7"/>
  <c r="G44" i="7"/>
  <c r="G63" i="6"/>
  <c r="G50" i="7"/>
  <c r="L46" i="7"/>
  <c r="J48" i="7"/>
  <c r="K44" i="7"/>
  <c r="L50" i="7"/>
  <c r="I50" i="7"/>
  <c r="J46" i="7"/>
  <c r="F79" i="6"/>
  <c r="F81" i="6" s="1"/>
  <c r="G81" i="6" s="1"/>
  <c r="K47" i="7"/>
  <c r="G47" i="7"/>
  <c r="J47" i="7"/>
  <c r="J44" i="7"/>
  <c r="G64" i="7"/>
  <c r="G51" i="6"/>
  <c r="K50" i="7"/>
  <c r="G54" i="6"/>
  <c r="G68" i="6"/>
  <c r="G66" i="6"/>
  <c r="G47" i="6"/>
  <c r="K72" i="7"/>
  <c r="G65" i="7"/>
  <c r="G59" i="7"/>
  <c r="I61" i="7"/>
  <c r="L72" i="7"/>
  <c r="L64" i="7"/>
  <c r="J61" i="7"/>
  <c r="J72" i="7"/>
  <c r="I67" i="7"/>
  <c r="G72" i="6"/>
  <c r="G67" i="6"/>
  <c r="G69" i="6"/>
  <c r="I65" i="7"/>
  <c r="G73" i="6"/>
  <c r="G60" i="6"/>
  <c r="G52" i="6"/>
  <c r="G71" i="6"/>
  <c r="J64" i="7"/>
  <c r="J65" i="7"/>
  <c r="I45" i="6"/>
  <c r="H64" i="7"/>
  <c r="K51" i="6"/>
  <c r="K65" i="7"/>
  <c r="G45" i="6"/>
  <c r="L51" i="6"/>
  <c r="G49" i="6"/>
  <c r="J68" i="7"/>
  <c r="G46" i="6"/>
  <c r="G65" i="6"/>
  <c r="G61" i="6"/>
  <c r="G48" i="6"/>
  <c r="G70" i="6"/>
  <c r="G50" i="6"/>
  <c r="F45" i="7"/>
  <c r="L68" i="7"/>
  <c r="K45" i="6"/>
  <c r="J73" i="6"/>
  <c r="H63" i="7"/>
  <c r="G64" i="6"/>
  <c r="G59" i="6"/>
  <c r="K73" i="7"/>
  <c r="G83" i="6"/>
  <c r="F53" i="6"/>
  <c r="G84" i="6"/>
  <c r="J51" i="6"/>
  <c r="G73" i="7"/>
  <c r="L45" i="6"/>
  <c r="J59" i="7"/>
  <c r="G82" i="6"/>
  <c r="G44" i="6"/>
  <c r="G62" i="6"/>
  <c r="I73" i="7"/>
  <c r="L28" i="7"/>
  <c r="J34" i="7"/>
  <c r="L39" i="7"/>
  <c r="H65" i="7"/>
  <c r="L107" i="1"/>
  <c r="O46" i="2" s="1"/>
  <c r="P46" i="2" s="1"/>
  <c r="J108" i="1"/>
  <c r="K47" i="2" s="1"/>
  <c r="L47" i="2" s="1"/>
  <c r="J109" i="1"/>
  <c r="K46" i="2"/>
  <c r="L46" i="2" s="1"/>
  <c r="M46" i="2"/>
  <c r="N46" i="2" s="1"/>
  <c r="K109" i="1"/>
  <c r="M47" i="2"/>
  <c r="N47" i="2" s="1"/>
  <c r="L108" i="1"/>
  <c r="M108" i="1"/>
  <c r="Q47" i="2" s="1"/>
  <c r="Q46" i="2"/>
  <c r="R46" i="2" s="1"/>
  <c r="M109" i="1"/>
  <c r="Q45" i="2"/>
  <c r="K79" i="6" l="1"/>
  <c r="G79" i="6"/>
  <c r="L53" i="7"/>
  <c r="G53" i="7"/>
  <c r="I53" i="7"/>
  <c r="K53" i="7"/>
  <c r="J53" i="7"/>
  <c r="F56" i="7"/>
  <c r="F81" i="7"/>
  <c r="G81" i="7" s="1"/>
  <c r="G79" i="7"/>
  <c r="K79" i="7"/>
  <c r="J79" i="7"/>
  <c r="J79" i="6"/>
  <c r="G53" i="6"/>
  <c r="F56" i="6"/>
  <c r="K53" i="6"/>
  <c r="L53" i="6"/>
  <c r="J53" i="6"/>
  <c r="I53" i="6"/>
  <c r="K45" i="7"/>
  <c r="I45" i="7"/>
  <c r="J45" i="7"/>
  <c r="G45" i="7"/>
  <c r="L45" i="7"/>
  <c r="O47" i="2"/>
  <c r="P47" i="2" s="1"/>
  <c r="L109" i="1"/>
  <c r="R45" i="2"/>
  <c r="I179" i="2"/>
  <c r="F75" i="13" s="1"/>
  <c r="I180" i="2"/>
  <c r="F76" i="13" s="1"/>
  <c r="R47" i="2"/>
  <c r="L56" i="7" l="1"/>
  <c r="J56" i="7"/>
  <c r="K56" i="7"/>
  <c r="G56" i="7"/>
  <c r="I56" i="7"/>
  <c r="J56" i="6"/>
  <c r="L56" i="6"/>
  <c r="K56" i="6"/>
  <c r="G56" i="6"/>
  <c r="I56" i="6"/>
  <c r="F77" i="13"/>
  <c r="I67" i="13" l="1"/>
  <c r="I71" i="13"/>
  <c r="I72" i="13"/>
  <c r="I68" i="13"/>
  <c r="I66" i="13"/>
  <c r="I77" i="13" s="1"/>
  <c r="I69" i="13"/>
  <c r="I73" i="13"/>
  <c r="I70" i="13"/>
  <c r="I74" i="13"/>
  <c r="I75" i="13"/>
  <c r="I76" i="13"/>
</calcChain>
</file>

<file path=xl/comments1.xml><?xml version="1.0" encoding="utf-8"?>
<comments xmlns="http://schemas.openxmlformats.org/spreadsheetml/2006/main">
  <authors>
    <author>Ian Jenkinson (ahbjei)</author>
    <author>Ian Jenkinson</author>
    <author>Jenkinson Ian (ahbjei)</author>
  </authors>
  <commentList>
    <comment ref="J2" authorId="0" shapeId="0">
      <text>
        <r>
          <rPr>
            <b/>
            <sz val="9"/>
            <color indexed="81"/>
            <rFont val="Segoe UI"/>
            <family val="2"/>
          </rPr>
          <t>Ian Jenkinson (ahbjei):</t>
        </r>
        <r>
          <rPr>
            <sz val="9"/>
            <color indexed="81"/>
            <rFont val="Segoe UI"/>
            <family val="2"/>
          </rPr>
          <t xml:space="preserve">
Kostengrobschätzung gemäss SIA 102 (2014)</t>
        </r>
      </text>
    </comment>
    <comment ref="F3" authorId="1" shapeId="0">
      <text>
        <r>
          <rPr>
            <b/>
            <sz val="9"/>
            <color indexed="81"/>
            <rFont val="Tahoma"/>
            <family val="2"/>
          </rPr>
          <t>Ian Jenkinson:</t>
        </r>
        <r>
          <rPr>
            <sz val="9"/>
            <color indexed="81"/>
            <rFont val="Tahoma"/>
            <family val="2"/>
          </rPr>
          <t xml:space="preserve">
Teil Phase (Z.b Wettbewerb Überarbeitung, KS 2, Endkostenprognosen, Bauabrechnung Provisorisch, Bauabrechnung Faltblatt etc.)</t>
        </r>
      </text>
    </comment>
    <comment ref="C23" authorId="0" shapeId="0">
      <text>
        <r>
          <rPr>
            <b/>
            <sz val="9"/>
            <color indexed="81"/>
            <rFont val="Segoe UI"/>
            <family val="2"/>
          </rPr>
          <t>Funktionale Einheiten 1 
(Anzahl)</t>
        </r>
        <r>
          <rPr>
            <u/>
            <sz val="9"/>
            <color indexed="81"/>
            <rFont val="Segoe UI"/>
            <family val="2"/>
          </rPr>
          <t xml:space="preserve">
Schulen: Klasseneinheiten (gewichtet)</t>
        </r>
        <r>
          <rPr>
            <sz val="9"/>
            <color indexed="81"/>
            <rFont val="Segoe UI"/>
            <family val="2"/>
          </rPr>
          <t xml:space="preserve">
+0.8 x Kindergartenklassen
+1.0 x Primarschulklassen
+1.2 x Sekundarschulklassen
</t>
        </r>
        <r>
          <rPr>
            <u/>
            <sz val="9"/>
            <color indexed="81"/>
            <rFont val="Segoe UI"/>
            <family val="2"/>
          </rPr>
          <t>Für Alterszentrum oder Pflegezentrum</t>
        </r>
        <r>
          <rPr>
            <sz val="9"/>
            <color indexed="81"/>
            <rFont val="Segoe UI"/>
            <family val="2"/>
          </rPr>
          <t xml:space="preserve">
Anzahl Plätze (Betten)
</t>
        </r>
        <r>
          <rPr>
            <u/>
            <sz val="9"/>
            <color indexed="81"/>
            <rFont val="Segoe UI"/>
            <family val="2"/>
          </rPr>
          <t>Für Verwaltungsbauten</t>
        </r>
        <r>
          <rPr>
            <sz val="9"/>
            <color indexed="81"/>
            <rFont val="Segoe UI"/>
            <family val="2"/>
          </rPr>
          <t xml:space="preserve">
Anzahl Arbeitsplätze
</t>
        </r>
        <r>
          <rPr>
            <u/>
            <sz val="9"/>
            <color indexed="81"/>
            <rFont val="Segoe UI"/>
            <family val="2"/>
          </rPr>
          <t>Für Wohnungen</t>
        </r>
        <r>
          <rPr>
            <sz val="9"/>
            <color indexed="81"/>
            <rFont val="Segoe UI"/>
            <family val="2"/>
          </rPr>
          <t xml:space="preserve">
Anzahl Wohnungen (Standard Wohnungen)</t>
        </r>
      </text>
    </comment>
    <comment ref="C24" authorId="0" shapeId="0">
      <text>
        <r>
          <rPr>
            <b/>
            <sz val="9"/>
            <color indexed="81"/>
            <rFont val="Segoe UI"/>
            <family val="2"/>
          </rPr>
          <t xml:space="preserve">Funktionseinheit 2  : Zusatznutzung: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Erweitertes Schulprogramm:
MKZ Räume
HPS Räume
</t>
        </r>
        <r>
          <rPr>
            <u/>
            <sz val="9"/>
            <color indexed="81"/>
            <rFont val="Segoe UI"/>
            <family val="2"/>
          </rPr>
          <t xml:space="preserve">
Alterszentrum oder Pflegezentrum</t>
        </r>
        <r>
          <rPr>
            <sz val="9"/>
            <color indexed="81"/>
            <rFont val="Segoe UI"/>
            <family val="2"/>
          </rPr>
          <t xml:space="preserve">
z.B. Gewerbeflächen, Spitex
</t>
        </r>
        <r>
          <rPr>
            <u/>
            <sz val="9"/>
            <color indexed="81"/>
            <rFont val="Segoe UI"/>
            <family val="2"/>
          </rPr>
          <t>Verwaltungsbauten</t>
        </r>
        <r>
          <rPr>
            <sz val="9"/>
            <color indexed="81"/>
            <rFont val="Segoe UI"/>
            <family val="2"/>
          </rPr>
          <t xml:space="preserve">
z.B. Gewerbeflächen
</t>
        </r>
        <r>
          <rPr>
            <u/>
            <sz val="9"/>
            <color indexed="81"/>
            <rFont val="Segoe UI"/>
            <family val="2"/>
          </rPr>
          <t>Wohnungen</t>
        </r>
        <r>
          <rPr>
            <sz val="9"/>
            <color indexed="81"/>
            <rFont val="Segoe UI"/>
            <family val="2"/>
          </rPr>
          <t xml:space="preserve">
z.B. Gewerbeflächen, Bastelräume, Musikräume, Schaltzimmer; WG's, Satellitwohnungen, Gemeinschaftsraum etc.
</t>
        </r>
      </text>
    </comment>
    <comment ref="C25" authorId="0" shapeId="0">
      <text>
        <r>
          <rPr>
            <b/>
            <sz val="9"/>
            <color indexed="81"/>
            <rFont val="Segoe UI"/>
            <family val="2"/>
          </rPr>
          <t xml:space="preserve">Funktionseinheit 2  : Zusatznutzung: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Erweitertes Schulprogramm:
MKZ Räume
HPS Räume
</t>
        </r>
        <r>
          <rPr>
            <u/>
            <sz val="9"/>
            <color indexed="81"/>
            <rFont val="Segoe UI"/>
            <family val="2"/>
          </rPr>
          <t xml:space="preserve">
Alterszentrum oder Pflegezentrum</t>
        </r>
        <r>
          <rPr>
            <sz val="9"/>
            <color indexed="81"/>
            <rFont val="Segoe UI"/>
            <family val="2"/>
          </rPr>
          <t xml:space="preserve">
z.B. Gewerbeflächen, Spitex
</t>
        </r>
        <r>
          <rPr>
            <u/>
            <sz val="9"/>
            <color indexed="81"/>
            <rFont val="Segoe UI"/>
            <family val="2"/>
          </rPr>
          <t>Verwaltungsbauten</t>
        </r>
        <r>
          <rPr>
            <sz val="9"/>
            <color indexed="81"/>
            <rFont val="Segoe UI"/>
            <family val="2"/>
          </rPr>
          <t xml:space="preserve">
z.B. Gewerbeflächen
</t>
        </r>
        <r>
          <rPr>
            <u/>
            <sz val="9"/>
            <color indexed="81"/>
            <rFont val="Segoe UI"/>
            <family val="2"/>
          </rPr>
          <t>Wohnungen</t>
        </r>
        <r>
          <rPr>
            <sz val="9"/>
            <color indexed="81"/>
            <rFont val="Segoe UI"/>
            <family val="2"/>
          </rPr>
          <t xml:space="preserve">
z.B. Gewerbeflächen, Bastelräume, Musikräume, Schaltzimmer; WG's, Satellitwohnungen, Gemeinschaftsraum etc.
</t>
        </r>
      </text>
    </comment>
    <comment ref="C26" authorId="0" shapeId="0">
      <text>
        <r>
          <rPr>
            <b/>
            <sz val="9"/>
            <color indexed="81"/>
            <rFont val="Segoe UI"/>
            <family val="2"/>
          </rPr>
          <t xml:space="preserve">Funktionseinheit 3  : Quartiernutzungen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öffentliche Bibliotheken, Sporträume (Sportamt) z.B. grössere Turnhallen
</t>
        </r>
        <r>
          <rPr>
            <u/>
            <sz val="9"/>
            <color indexed="81"/>
            <rFont val="Segoe UI"/>
            <family val="2"/>
          </rPr>
          <t xml:space="preserve">
Alterszentrum oder Pflegezentrum</t>
        </r>
        <r>
          <rPr>
            <sz val="9"/>
            <color indexed="81"/>
            <rFont val="Segoe UI"/>
            <family val="2"/>
          </rPr>
          <t xml:space="preserve">
z.B. Kindergarten, Kindertagesstätte, Horte
</t>
        </r>
        <r>
          <rPr>
            <u/>
            <sz val="9"/>
            <color indexed="81"/>
            <rFont val="Segoe UI"/>
            <family val="2"/>
          </rPr>
          <t>Verwaltungsbauten</t>
        </r>
        <r>
          <rPr>
            <sz val="9"/>
            <color indexed="81"/>
            <rFont val="Segoe UI"/>
            <family val="2"/>
          </rPr>
          <t xml:space="preserve">
z.B. Kindergarten, Kindertagesstätte, Horte
</t>
        </r>
        <r>
          <rPr>
            <u/>
            <sz val="9"/>
            <color indexed="81"/>
            <rFont val="Segoe UI"/>
            <family val="2"/>
          </rPr>
          <t>Wohnungen</t>
        </r>
        <r>
          <rPr>
            <sz val="9"/>
            <color indexed="81"/>
            <rFont val="Segoe UI"/>
            <family val="2"/>
          </rPr>
          <t xml:space="preserve">
z.B. Kindergarten, Kindertagesstätte, Horte</t>
        </r>
      </text>
    </comment>
    <comment ref="C27" authorId="0" shapeId="0">
      <text>
        <r>
          <rPr>
            <b/>
            <sz val="9"/>
            <color indexed="81"/>
            <rFont val="Segoe UI"/>
            <family val="2"/>
          </rPr>
          <t xml:space="preserve">Funktionseinheit 3  : Quartiernutzungen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öffentliche Bibliotheken, Sporträume (Sportamt) z.B. grössere Turnhallen
</t>
        </r>
        <r>
          <rPr>
            <u/>
            <sz val="9"/>
            <color indexed="81"/>
            <rFont val="Segoe UI"/>
            <family val="2"/>
          </rPr>
          <t xml:space="preserve">
Alterszentrum oder Pflegezentrum</t>
        </r>
        <r>
          <rPr>
            <sz val="9"/>
            <color indexed="81"/>
            <rFont val="Segoe UI"/>
            <family val="2"/>
          </rPr>
          <t xml:space="preserve">
z.B. Kindergarten, Kindertagesstätte, Horte
</t>
        </r>
        <r>
          <rPr>
            <u/>
            <sz val="9"/>
            <color indexed="81"/>
            <rFont val="Segoe UI"/>
            <family val="2"/>
          </rPr>
          <t>Verwaltungsbauten</t>
        </r>
        <r>
          <rPr>
            <sz val="9"/>
            <color indexed="81"/>
            <rFont val="Segoe UI"/>
            <family val="2"/>
          </rPr>
          <t xml:space="preserve">
z.B. Kindergarten, Kindertagesstätte, Horte
</t>
        </r>
        <r>
          <rPr>
            <u/>
            <sz val="9"/>
            <color indexed="81"/>
            <rFont val="Segoe UI"/>
            <family val="2"/>
          </rPr>
          <t>Wohnungen</t>
        </r>
        <r>
          <rPr>
            <sz val="9"/>
            <color indexed="81"/>
            <rFont val="Segoe UI"/>
            <family val="2"/>
          </rPr>
          <t xml:space="preserve">
z.B. Kindergarten, Kindertagesstätte, Horte</t>
        </r>
      </text>
    </comment>
    <comment ref="C28" authorId="0" shapeId="0">
      <text>
        <r>
          <rPr>
            <b/>
            <sz val="9"/>
            <color indexed="81"/>
            <rFont val="Segoe UI"/>
            <family val="2"/>
          </rPr>
          <t xml:space="preserve">Funktionseinheit 3  : Diverses  
m2 NGF (Netto-Geschossflöche)
</t>
        </r>
        <r>
          <rPr>
            <sz val="9"/>
            <color indexed="81"/>
            <rFont val="Segoe UI"/>
            <family val="2"/>
          </rPr>
          <t>z.B:</t>
        </r>
        <r>
          <rPr>
            <b/>
            <sz val="9"/>
            <color indexed="81"/>
            <rFont val="Segoe UI"/>
            <family val="2"/>
          </rPr>
          <t xml:space="preserve"> </t>
        </r>
        <r>
          <rPr>
            <sz val="9"/>
            <color indexed="81"/>
            <rFont val="Segoe UI"/>
            <family val="2"/>
          </rPr>
          <t>Schulschwimmanlage</t>
        </r>
      </text>
    </comment>
    <comment ref="C29" authorId="0" shapeId="0">
      <text>
        <r>
          <rPr>
            <b/>
            <sz val="9"/>
            <color indexed="81"/>
            <rFont val="Segoe UI"/>
            <family val="2"/>
          </rPr>
          <t xml:space="preserve">Funktionseinheit 3  : Diverses  
m2 NGF (Netto-Geschossflöche)
</t>
        </r>
        <r>
          <rPr>
            <sz val="9"/>
            <color indexed="81"/>
            <rFont val="Segoe UI"/>
            <family val="2"/>
          </rPr>
          <t>z.B:</t>
        </r>
        <r>
          <rPr>
            <b/>
            <sz val="9"/>
            <color indexed="81"/>
            <rFont val="Segoe UI"/>
            <family val="2"/>
          </rPr>
          <t xml:space="preserve"> </t>
        </r>
        <r>
          <rPr>
            <sz val="9"/>
            <color indexed="81"/>
            <rFont val="Segoe UI"/>
            <family val="2"/>
          </rPr>
          <t>Schulschwimmanlage</t>
        </r>
      </text>
    </comment>
    <comment ref="C32" authorId="2" shapeId="0">
      <text>
        <r>
          <rPr>
            <b/>
            <sz val="9"/>
            <color indexed="81"/>
            <rFont val="Tahoma"/>
            <family val="2"/>
          </rPr>
          <t>Jenkinson Ian:</t>
        </r>
        <r>
          <rPr>
            <sz val="9"/>
            <color indexed="81"/>
            <rFont val="Tahoma"/>
            <family val="2"/>
          </rPr>
          <t xml:space="preserve">
Der Projektperimeter umfasst grundsätzlich alle Räume (Bauteile), welche durch den baulichen Eingriff unmittelbar betroffen sind. Übersteigt die Geschossfläche des Projektperimeters 90% der gesamten Geschossfläche, so wird die gesamte Geschossfläche zur Grundlage, sonst nur die Geschossfläche der betroffenen Räume. Bei Neubauten dient immer die gesamte Geschossfläche als Grundlage - siehe Wegleitung Projektökonomie</t>
        </r>
      </text>
    </comment>
    <comment ref="C34" authorId="2" shapeId="0">
      <text>
        <r>
          <rPr>
            <b/>
            <sz val="9"/>
            <color indexed="81"/>
            <rFont val="Tahoma"/>
            <family val="2"/>
          </rPr>
          <t xml:space="preserve">Jenkinson Ian:
</t>
        </r>
        <r>
          <rPr>
            <sz val="9"/>
            <color indexed="81"/>
            <rFont val="Tahoma"/>
            <family val="2"/>
          </rPr>
          <t>Bei bestehenden Gebäuden kann der Projektperimeter kleiner sein als die gesamte Geschlossfläche. Hier ist die Geschossfläche des gesamten Gebäudes anzugeben. Bei Neubauten entspricht die Geschossfläche des Projektperimeters auch der Geschossfläche des gesamten Gebäudes. Siehe Wegleitung Projektökonomie.</t>
        </r>
      </text>
    </comment>
    <comment ref="E43" authorId="1" shapeId="0">
      <text>
        <r>
          <rPr>
            <b/>
            <sz val="9"/>
            <color indexed="81"/>
            <rFont val="Tahoma"/>
            <family val="2"/>
          </rPr>
          <t>Ian Jenkinson:</t>
        </r>
        <r>
          <rPr>
            <sz val="9"/>
            <color indexed="81"/>
            <rFont val="Tahoma"/>
            <family val="2"/>
          </rPr>
          <t xml:space="preserve">
eBKP- H (2009): BOF</t>
        </r>
      </text>
    </comment>
    <comment ref="E44" authorId="1" shapeId="0">
      <text>
        <r>
          <rPr>
            <b/>
            <sz val="9"/>
            <color indexed="81"/>
            <rFont val="Tahoma"/>
            <family val="2"/>
          </rPr>
          <t>Ian Jenkinson:</t>
        </r>
        <r>
          <rPr>
            <sz val="9"/>
            <color indexed="81"/>
            <rFont val="Tahoma"/>
            <family val="2"/>
          </rPr>
          <t xml:space="preserve">
eBKP-H (2009): AWF</t>
        </r>
      </text>
    </comment>
    <comment ref="E45" authorId="1" shapeId="0">
      <text>
        <r>
          <rPr>
            <b/>
            <sz val="9"/>
            <color indexed="81"/>
            <rFont val="Tahoma"/>
            <family val="2"/>
          </rPr>
          <t>Ian Jenkinson:</t>
        </r>
        <r>
          <rPr>
            <sz val="9"/>
            <color indexed="81"/>
            <rFont val="Tahoma"/>
            <family val="2"/>
          </rPr>
          <t xml:space="preserve">
eBKP-H (2009): AWFU</t>
        </r>
      </text>
    </comment>
    <comment ref="E46" authorId="1" shapeId="0">
      <text>
        <r>
          <rPr>
            <b/>
            <sz val="9"/>
            <color indexed="81"/>
            <rFont val="Tahoma"/>
            <family val="2"/>
          </rPr>
          <t>Ian Jenkinson:</t>
        </r>
        <r>
          <rPr>
            <sz val="9"/>
            <color indexed="81"/>
            <rFont val="Tahoma"/>
            <family val="2"/>
          </rPr>
          <t xml:space="preserve">
eBKP-H (2009): AWFO</t>
        </r>
      </text>
    </comment>
    <comment ref="E47" authorId="1" shapeId="0">
      <text>
        <r>
          <rPr>
            <b/>
            <sz val="9"/>
            <color indexed="81"/>
            <rFont val="Tahoma"/>
            <family val="2"/>
          </rPr>
          <t>Ian Jenkinson:</t>
        </r>
        <r>
          <rPr>
            <sz val="9"/>
            <color indexed="81"/>
            <rFont val="Tahoma"/>
            <family val="2"/>
          </rPr>
          <t xml:space="preserve">
eBKP-H (2009): AWE</t>
        </r>
      </text>
    </comment>
    <comment ref="E48" authorId="1" shapeId="0">
      <text>
        <r>
          <rPr>
            <b/>
            <sz val="9"/>
            <color indexed="81"/>
            <rFont val="Tahoma"/>
            <family val="2"/>
          </rPr>
          <t>Ian Jenkinson:</t>
        </r>
        <r>
          <rPr>
            <sz val="9"/>
            <color indexed="81"/>
            <rFont val="Tahoma"/>
            <family val="2"/>
          </rPr>
          <t xml:space="preserve">
eBKP-H (2009): DAHF</t>
        </r>
      </text>
    </comment>
    <comment ref="E49" authorId="1" shapeId="0">
      <text>
        <r>
          <rPr>
            <b/>
            <sz val="9"/>
            <color indexed="81"/>
            <rFont val="Tahoma"/>
            <family val="2"/>
          </rPr>
          <t>Ian Jenkinson:</t>
        </r>
        <r>
          <rPr>
            <sz val="9"/>
            <color indexed="81"/>
            <rFont val="Tahoma"/>
            <family val="2"/>
          </rPr>
          <t xml:space="preserve">
eBKP-H (2009) DAHF-U</t>
        </r>
      </text>
    </comment>
    <comment ref="E50" authorId="1" shapeId="0">
      <text>
        <r>
          <rPr>
            <b/>
            <sz val="9"/>
            <color indexed="81"/>
            <rFont val="Tahoma"/>
            <family val="2"/>
          </rPr>
          <t>Ian Jenkinson:</t>
        </r>
        <r>
          <rPr>
            <sz val="9"/>
            <color indexed="81"/>
            <rFont val="Tahoma"/>
            <family val="2"/>
          </rPr>
          <t xml:space="preserve">
eBKP-H (2009): DAHF-UE</t>
        </r>
      </text>
    </comment>
    <comment ref="B52" authorId="1" shapeId="0">
      <text>
        <r>
          <rPr>
            <b/>
            <sz val="9"/>
            <color indexed="81"/>
            <rFont val="Tahoma"/>
            <family val="2"/>
          </rPr>
          <t>Ian Jenkinson:</t>
        </r>
        <r>
          <rPr>
            <sz val="9"/>
            <color indexed="81"/>
            <rFont val="Tahoma"/>
            <family val="2"/>
          </rPr>
          <t xml:space="preserve">
D8 von eBKP-H 2012
Anzahl von Sainitärapparanten und Anschlusspunkte
z.B. I Punkt für: WC, Dusche, Bad, lavabo, Küche, Waschmaschine etc.</t>
        </r>
      </text>
    </comment>
    <comment ref="E52" authorId="1" shapeId="0">
      <text>
        <r>
          <rPr>
            <b/>
            <sz val="9"/>
            <color indexed="81"/>
            <rFont val="Tahoma"/>
            <family val="2"/>
          </rPr>
          <t>Ian Jenkinson:</t>
        </r>
        <r>
          <rPr>
            <sz val="9"/>
            <color indexed="81"/>
            <rFont val="Tahoma"/>
            <family val="2"/>
          </rPr>
          <t xml:space="preserve">
eBKP-H (2009): ASP</t>
        </r>
      </text>
    </comment>
    <comment ref="B53" authorId="1" shapeId="0">
      <text>
        <r>
          <rPr>
            <b/>
            <sz val="9"/>
            <color indexed="81"/>
            <rFont val="Tahoma"/>
            <family val="2"/>
          </rPr>
          <t>Ian Jenkinson:</t>
        </r>
        <r>
          <rPr>
            <sz val="9"/>
            <color indexed="81"/>
            <rFont val="Tahoma"/>
            <family val="2"/>
          </rPr>
          <t xml:space="preserve">
D7 von eBKP-H 2012</t>
        </r>
      </text>
    </comment>
    <comment ref="I59" authorId="0" shapeId="0">
      <text>
        <r>
          <rPr>
            <b/>
            <sz val="9"/>
            <color indexed="81"/>
            <rFont val="Segoe UI"/>
            <family val="2"/>
          </rPr>
          <t>Ian Jenkinson (ahbjei):</t>
        </r>
        <r>
          <rPr>
            <sz val="9"/>
            <color indexed="81"/>
            <rFont val="Segoe UI"/>
            <family val="2"/>
          </rPr>
          <t xml:space="preserve">
Gemäss PHB Handbuch.</t>
        </r>
      </text>
    </comment>
    <comment ref="I60" authorId="0" shapeId="0">
      <text>
        <r>
          <rPr>
            <b/>
            <sz val="9"/>
            <color indexed="81"/>
            <rFont val="Segoe UI"/>
            <family val="2"/>
          </rPr>
          <t>Ian Jenkinson (ahbjei):</t>
        </r>
        <r>
          <rPr>
            <sz val="9"/>
            <color indexed="81"/>
            <rFont val="Segoe UI"/>
            <family val="2"/>
          </rPr>
          <t xml:space="preserve">
Gemäss PHB Handbuch.</t>
        </r>
      </text>
    </comment>
    <comment ref="I61" authorId="0" shapeId="0">
      <text>
        <r>
          <rPr>
            <b/>
            <sz val="9"/>
            <color indexed="81"/>
            <rFont val="Segoe UI"/>
            <family val="2"/>
          </rPr>
          <t>Ian Jenkinson (ahbjei):</t>
        </r>
        <r>
          <rPr>
            <sz val="9"/>
            <color indexed="81"/>
            <rFont val="Segoe UI"/>
            <family val="2"/>
          </rPr>
          <t xml:space="preserve">
Gemäss PHB Handbuch.</t>
        </r>
      </text>
    </comment>
    <comment ref="C76" authorId="1" shapeId="0">
      <text>
        <r>
          <rPr>
            <b/>
            <sz val="9"/>
            <color indexed="81"/>
            <rFont val="Tahoma"/>
            <family val="2"/>
          </rPr>
          <t>Ian Jenkinson:</t>
        </r>
        <r>
          <rPr>
            <sz val="9"/>
            <color indexed="81"/>
            <rFont val="Tahoma"/>
            <family val="2"/>
          </rPr>
          <t xml:space="preserve">
Alle allgemeinen Betriebseinrichtungen sind in die relevante BKP 2 Position einzurechnen. In BKP 3 gehören nur Fotovoltaik-Anlagen, Einrichtungen für Grossküchen, Schwimmbadtechnik, Kälteanlage und Ausrüstungen für Turnhalle etc.</t>
        </r>
      </text>
    </comment>
    <comment ref="I76" authorId="0" shapeId="0">
      <text>
        <r>
          <rPr>
            <b/>
            <sz val="9"/>
            <color indexed="81"/>
            <rFont val="Segoe UI"/>
            <family val="2"/>
          </rPr>
          <t>Ian Jenkinson (ahbjei):</t>
        </r>
        <r>
          <rPr>
            <sz val="9"/>
            <color indexed="81"/>
            <rFont val="Segoe UI"/>
            <family val="2"/>
          </rPr>
          <t xml:space="preserve">
Gemäss PHB Handbuch.</t>
        </r>
      </text>
    </comment>
    <comment ref="I77" authorId="0" shapeId="0">
      <text>
        <r>
          <rPr>
            <b/>
            <sz val="9"/>
            <color indexed="81"/>
            <rFont val="Segoe UI"/>
            <family val="2"/>
          </rPr>
          <t>Ian Jenkinson (ahbjei):</t>
        </r>
        <r>
          <rPr>
            <sz val="9"/>
            <color indexed="81"/>
            <rFont val="Segoe UI"/>
            <family val="2"/>
          </rPr>
          <t xml:space="preserve">
Gemäss PHB Handbuch.</t>
        </r>
      </text>
    </comment>
    <comment ref="I78" authorId="0" shapeId="0">
      <text>
        <r>
          <rPr>
            <b/>
            <sz val="9"/>
            <color indexed="81"/>
            <rFont val="Segoe UI"/>
            <family val="2"/>
          </rPr>
          <t>Ian Jenkinson (ahbjei):</t>
        </r>
        <r>
          <rPr>
            <sz val="9"/>
            <color indexed="81"/>
            <rFont val="Segoe UI"/>
            <family val="2"/>
          </rPr>
          <t xml:space="preserve">
Gemäss PHB Handbuch.</t>
        </r>
      </text>
    </comment>
    <comment ref="I79" authorId="0" shapeId="0">
      <text>
        <r>
          <rPr>
            <b/>
            <sz val="9"/>
            <color indexed="81"/>
            <rFont val="Segoe UI"/>
            <family val="2"/>
          </rPr>
          <t>Ian Jenkinson (ahbjei):</t>
        </r>
        <r>
          <rPr>
            <sz val="9"/>
            <color indexed="81"/>
            <rFont val="Segoe UI"/>
            <family val="2"/>
          </rPr>
          <t xml:space="preserve">
Gemäss PHB Handbuch.</t>
        </r>
      </text>
    </comment>
    <comment ref="I80" authorId="0" shapeId="0">
      <text>
        <r>
          <rPr>
            <b/>
            <sz val="9"/>
            <color indexed="81"/>
            <rFont val="Segoe UI"/>
            <family val="2"/>
          </rPr>
          <t>Ian Jenkinson (ahbjei):</t>
        </r>
        <r>
          <rPr>
            <sz val="9"/>
            <color indexed="81"/>
            <rFont val="Segoe UI"/>
            <family val="2"/>
          </rPr>
          <t xml:space="preserve">
Gemäss PHB Handbuch.</t>
        </r>
      </text>
    </comment>
    <comment ref="I93" authorId="0" shapeId="0">
      <text>
        <r>
          <rPr>
            <b/>
            <sz val="9"/>
            <color indexed="81"/>
            <rFont val="Segoe UI"/>
            <family val="2"/>
          </rPr>
          <t>Ian Jenkinson</t>
        </r>
        <r>
          <rPr>
            <sz val="9"/>
            <color indexed="81"/>
            <rFont val="Segoe UI"/>
            <family val="2"/>
          </rPr>
          <t xml:space="preserve">
Zielkosten gemäss PHB Handbuch.
In dieser Phase sind diese gleich wie die oben eingegebenen Kosten (Erstellungskosten inkl. Erschliessungskosten).
Dies ist sehr wichtig für die Auswertung des Kennzahlsystems.</t>
        </r>
      </text>
    </comment>
    <comment ref="M93" authorId="0" shapeId="0">
      <text>
        <r>
          <rPr>
            <b/>
            <sz val="9"/>
            <color indexed="81"/>
            <rFont val="Segoe UI"/>
            <family val="2"/>
          </rPr>
          <t>Ian Jenkinson:</t>
        </r>
        <r>
          <rPr>
            <sz val="9"/>
            <color indexed="81"/>
            <rFont val="Segoe UI"/>
            <family val="2"/>
          </rPr>
          <t xml:space="preserve">
Zielkosten mit aufgelaufener Teuerung.
(Total Beschluss minus Kreditreserven plus Indexteuerung plus Unternehmerteuerung)
Zum Beispiel:
KV- Original ohne Kredit-Reserven              CHF 26'850‘000      (29‘000‘000 – 2'150‘000)
Aufgelaufene Teuerung                                CHF   3'154'049       (3'045'987 + 108'062)
Zielkosten mit aufgelaufener Teuerung     CHF 30'004'049
Dies ist sehr wichtig für die Auswertung des Kennzahlsystems.
</t>
        </r>
      </text>
    </comment>
    <comment ref="C94" authorId="0" shapeId="0">
      <text>
        <r>
          <rPr>
            <b/>
            <sz val="9"/>
            <color indexed="81"/>
            <rFont val="Segoe UI"/>
            <family val="2"/>
          </rPr>
          <t xml:space="preserve">Ian Jenkinson </t>
        </r>
        <r>
          <rPr>
            <sz val="9"/>
            <color indexed="81"/>
            <rFont val="Segoe UI"/>
            <family val="2"/>
          </rPr>
          <t xml:space="preserve">
Diese Zelle muss ausgefüllt werden.
Falls die Zielkosten für die nächste Phase angepasst werden müssen, muss man dies hier eintragen. Ansonsten muss einfach die gleiche Zahl wie im PHB übernommen werden.</t>
        </r>
      </text>
    </comment>
  </commentList>
</comments>
</file>

<file path=xl/comments2.xml><?xml version="1.0" encoding="utf-8"?>
<comments xmlns="http://schemas.openxmlformats.org/spreadsheetml/2006/main">
  <authors>
    <author>Ian Jenkinson (ahbjei)</author>
  </authors>
  <commentList>
    <comment ref="C4" authorId="0" shapeId="0">
      <text>
        <r>
          <rPr>
            <b/>
            <sz val="9"/>
            <color indexed="81"/>
            <rFont val="Segoe UI"/>
            <family val="2"/>
          </rPr>
          <t>Funktionale Einheiten 1 
(Anzahl)</t>
        </r>
        <r>
          <rPr>
            <u/>
            <sz val="9"/>
            <color indexed="81"/>
            <rFont val="Segoe UI"/>
            <family val="2"/>
          </rPr>
          <t xml:space="preserve">
Schulen: Unterrichtseinheiten (gewichtet)</t>
        </r>
        <r>
          <rPr>
            <sz val="9"/>
            <color indexed="81"/>
            <rFont val="Segoe UI"/>
            <family val="2"/>
          </rPr>
          <t xml:space="preserve">
+0.8 x Kindergartenklassen
+1.0 x Primarschulklassen
+1.3 x Sekundarschulklassen
</t>
        </r>
        <r>
          <rPr>
            <u/>
            <sz val="9"/>
            <color indexed="81"/>
            <rFont val="Segoe UI"/>
            <family val="2"/>
          </rPr>
          <t>Für Alterszentrum oder Pflegezentrum</t>
        </r>
        <r>
          <rPr>
            <sz val="9"/>
            <color indexed="81"/>
            <rFont val="Segoe UI"/>
            <family val="2"/>
          </rPr>
          <t xml:space="preserve">
Anzahl Plätze (Betten)
</t>
        </r>
        <r>
          <rPr>
            <u/>
            <sz val="9"/>
            <color indexed="81"/>
            <rFont val="Segoe UI"/>
            <family val="2"/>
          </rPr>
          <t>Für Verwaltungsbauten</t>
        </r>
        <r>
          <rPr>
            <sz val="9"/>
            <color indexed="81"/>
            <rFont val="Segoe UI"/>
            <family val="2"/>
          </rPr>
          <t xml:space="preserve">
Anzahl Arbeitsplätze
</t>
        </r>
        <r>
          <rPr>
            <u/>
            <sz val="9"/>
            <color indexed="81"/>
            <rFont val="Segoe UI"/>
            <family val="2"/>
          </rPr>
          <t>Für Wohnungen</t>
        </r>
        <r>
          <rPr>
            <sz val="9"/>
            <color indexed="81"/>
            <rFont val="Segoe UI"/>
            <family val="2"/>
          </rPr>
          <t xml:space="preserve">
Anzahl Wohnungen</t>
        </r>
      </text>
    </comment>
    <comment ref="C5" authorId="0" shapeId="0">
      <text>
        <r>
          <rPr>
            <b/>
            <sz val="9"/>
            <color indexed="81"/>
            <rFont val="Segoe UI"/>
            <family val="2"/>
          </rPr>
          <t xml:space="preserve">Funktionseinheit 2  : Zusatznutzung: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Betreuung
</t>
        </r>
        <r>
          <rPr>
            <u/>
            <sz val="9"/>
            <color indexed="81"/>
            <rFont val="Segoe UI"/>
            <family val="2"/>
          </rPr>
          <t xml:space="preserve">
Alterszentrum oder Pflegezentrum</t>
        </r>
        <r>
          <rPr>
            <sz val="9"/>
            <color indexed="81"/>
            <rFont val="Segoe UI"/>
            <family val="2"/>
          </rPr>
          <t xml:space="preserve">
z.B. Gewerbeflächen, Spitex
</t>
        </r>
        <r>
          <rPr>
            <u/>
            <sz val="9"/>
            <color indexed="81"/>
            <rFont val="Segoe UI"/>
            <family val="2"/>
          </rPr>
          <t>Verwaltungsbauten</t>
        </r>
        <r>
          <rPr>
            <sz val="9"/>
            <color indexed="81"/>
            <rFont val="Segoe UI"/>
            <family val="2"/>
          </rPr>
          <t xml:space="preserve">
z.B. Gewerbeflächen
</t>
        </r>
        <r>
          <rPr>
            <u/>
            <sz val="9"/>
            <color indexed="81"/>
            <rFont val="Segoe UI"/>
            <family val="2"/>
          </rPr>
          <t>Wohnungen</t>
        </r>
        <r>
          <rPr>
            <sz val="9"/>
            <color indexed="81"/>
            <rFont val="Segoe UI"/>
            <family val="2"/>
          </rPr>
          <t xml:space="preserve">
z.B. Gewerbeflächen</t>
        </r>
      </text>
    </comment>
    <comment ref="C6" authorId="0" shapeId="0">
      <text>
        <r>
          <rPr>
            <b/>
            <sz val="9"/>
            <color indexed="81"/>
            <rFont val="Segoe UI"/>
            <family val="2"/>
          </rPr>
          <t xml:space="preserve">Funktionseinheit 3  : Quartiernutzungen  
m2 NGF (Netto-Geschossflöche)
</t>
        </r>
        <r>
          <rPr>
            <sz val="9"/>
            <color indexed="81"/>
            <rFont val="Segoe UI"/>
            <family val="2"/>
          </rPr>
          <t xml:space="preserve">
</t>
        </r>
        <r>
          <rPr>
            <u/>
            <sz val="9"/>
            <color indexed="81"/>
            <rFont val="Segoe UI"/>
            <family val="2"/>
          </rPr>
          <t>Schulen:</t>
        </r>
        <r>
          <rPr>
            <sz val="9"/>
            <color indexed="81"/>
            <rFont val="Segoe UI"/>
            <family val="2"/>
          </rPr>
          <t xml:space="preserve"> 
z.B. öffentliche Bibliotheken, grössere Turnhalle, Schulschwimmanlage
</t>
        </r>
        <r>
          <rPr>
            <u/>
            <sz val="9"/>
            <color indexed="81"/>
            <rFont val="Segoe UI"/>
            <family val="2"/>
          </rPr>
          <t xml:space="preserve">
Alterszentrum oder Pflegezentrum</t>
        </r>
        <r>
          <rPr>
            <sz val="9"/>
            <color indexed="81"/>
            <rFont val="Segoe UI"/>
            <family val="2"/>
          </rPr>
          <t xml:space="preserve">
z.B. Kindergarten, Kindertagesstätte, Horte
</t>
        </r>
        <r>
          <rPr>
            <u/>
            <sz val="9"/>
            <color indexed="81"/>
            <rFont val="Segoe UI"/>
            <family val="2"/>
          </rPr>
          <t>Verwaltungsbauten</t>
        </r>
        <r>
          <rPr>
            <sz val="9"/>
            <color indexed="81"/>
            <rFont val="Segoe UI"/>
            <family val="2"/>
          </rPr>
          <t xml:space="preserve">
z.B. Kindergarten, Kindertagesstätte, Horte
</t>
        </r>
        <r>
          <rPr>
            <u/>
            <sz val="9"/>
            <color indexed="81"/>
            <rFont val="Segoe UI"/>
            <family val="2"/>
          </rPr>
          <t>Wohnungen</t>
        </r>
        <r>
          <rPr>
            <sz val="9"/>
            <color indexed="81"/>
            <rFont val="Segoe UI"/>
            <family val="2"/>
          </rPr>
          <t xml:space="preserve">
z.B. Kindergarten, Kindertagesstätte, Horte</t>
        </r>
      </text>
    </comment>
    <comment ref="C7" authorId="0" shapeId="0">
      <text>
        <r>
          <rPr>
            <b/>
            <sz val="9"/>
            <color indexed="81"/>
            <rFont val="Segoe UI"/>
            <family val="2"/>
          </rPr>
          <t xml:space="preserve">Funktionseinheit 3  : Diverses  
m2 NGF (Netto-Geschossflöche)
</t>
        </r>
      </text>
    </comment>
  </commentList>
</comments>
</file>

<file path=xl/comments3.xml><?xml version="1.0" encoding="utf-8"?>
<comments xmlns="http://schemas.openxmlformats.org/spreadsheetml/2006/main">
  <authors>
    <author>Ian Jenkinson</author>
  </authors>
  <commentList>
    <comment ref="G3" authorId="0" shapeId="0">
      <text>
        <r>
          <rPr>
            <b/>
            <sz val="9"/>
            <color indexed="81"/>
            <rFont val="Tahoma"/>
            <family val="2"/>
          </rPr>
          <t>Ian Jenkinson:</t>
        </r>
        <r>
          <rPr>
            <sz val="9"/>
            <color indexed="81"/>
            <rFont val="Tahoma"/>
            <family val="2"/>
          </rPr>
          <t xml:space="preserve">
Teil Phase (Z.b Wettbewerb Überarbeitung, KS 2, Endkostenprognosen, Bauabrechnung Provisorisch, etc.)</t>
        </r>
      </text>
    </comment>
    <comment ref="G67" authorId="0" shapeId="0">
      <text>
        <r>
          <rPr>
            <b/>
            <sz val="9"/>
            <color indexed="81"/>
            <rFont val="Tahoma"/>
            <family val="2"/>
          </rPr>
          <t>Ian Jenkinson:</t>
        </r>
        <r>
          <rPr>
            <sz val="9"/>
            <color indexed="81"/>
            <rFont val="Tahoma"/>
            <family val="2"/>
          </rPr>
          <t xml:space="preserve">
Teil Phase (Z.b Wettbewerb Überarbeitung, KS 2, Endkostenprognosen, Bauabrechnung Provisorisch, etc.)</t>
        </r>
      </text>
    </comment>
  </commentList>
</comments>
</file>

<file path=xl/comments4.xml><?xml version="1.0" encoding="utf-8"?>
<comments xmlns="http://schemas.openxmlformats.org/spreadsheetml/2006/main">
  <authors>
    <author>Ian Jenkinson</author>
  </authors>
  <commentList>
    <comment ref="G3" authorId="0" shapeId="0">
      <text>
        <r>
          <rPr>
            <b/>
            <sz val="9"/>
            <color indexed="81"/>
            <rFont val="Tahoma"/>
            <family val="2"/>
          </rPr>
          <t>Ian Jenkinson:</t>
        </r>
        <r>
          <rPr>
            <sz val="9"/>
            <color indexed="81"/>
            <rFont val="Tahoma"/>
            <family val="2"/>
          </rPr>
          <t xml:space="preserve">
Teil Phase (Z.b Wettbewerb Überarbeitung, KS 2, Endkostenprognosen, Bauabrechnung Provisorisch, etc.)</t>
        </r>
      </text>
    </comment>
  </commentList>
</comments>
</file>

<file path=xl/comments5.xml><?xml version="1.0" encoding="utf-8"?>
<comments xmlns="http://schemas.openxmlformats.org/spreadsheetml/2006/main">
  <authors>
    <author>Ian Jenkinson</author>
  </authors>
  <commentList>
    <comment ref="E3" authorId="0" shapeId="0">
      <text>
        <r>
          <rPr>
            <b/>
            <sz val="9"/>
            <color indexed="81"/>
            <rFont val="Tahoma"/>
            <family val="2"/>
          </rPr>
          <t>Ian Jenkinson:</t>
        </r>
        <r>
          <rPr>
            <sz val="9"/>
            <color indexed="81"/>
            <rFont val="Tahoma"/>
            <family val="2"/>
          </rPr>
          <t xml:space="preserve">
Teil Phase (Z.b Wettbewerb Überarbeitung, KS 2, Endkostenprognosen, Bauabrechnung Provisorisch, etc.)</t>
        </r>
      </text>
    </comment>
    <comment ref="N18" authorId="0" shapeId="0">
      <text>
        <r>
          <rPr>
            <b/>
            <sz val="9"/>
            <color indexed="81"/>
            <rFont val="Tahoma"/>
            <family val="2"/>
          </rPr>
          <t>Ian Jenkinson:</t>
        </r>
        <r>
          <rPr>
            <sz val="9"/>
            <color indexed="81"/>
            <rFont val="Tahoma"/>
            <family val="2"/>
          </rPr>
          <t xml:space="preserve">
Wärmeerzeugung (CHF) / Installierte Heizleistung (KW)
</t>
        </r>
      </text>
    </comment>
    <comment ref="X18" authorId="0" shapeId="0">
      <text>
        <r>
          <rPr>
            <b/>
            <sz val="9"/>
            <color indexed="81"/>
            <rFont val="Tahoma"/>
            <family val="2"/>
          </rPr>
          <t>Ian Jenkinson:</t>
        </r>
        <r>
          <rPr>
            <sz val="9"/>
            <color indexed="81"/>
            <rFont val="Tahoma"/>
            <family val="2"/>
          </rPr>
          <t xml:space="preserve">
Wärmeerzeugung (CHF) / Installierte Heizleistung (KW)
</t>
        </r>
      </text>
    </comment>
    <comment ref="AG18" authorId="0" shapeId="0">
      <text>
        <r>
          <rPr>
            <b/>
            <sz val="9"/>
            <color indexed="81"/>
            <rFont val="Tahoma"/>
            <family val="2"/>
          </rPr>
          <t>Ian Jenkinson:</t>
        </r>
        <r>
          <rPr>
            <sz val="9"/>
            <color indexed="81"/>
            <rFont val="Tahoma"/>
            <family val="2"/>
          </rPr>
          <t xml:space="preserve">
Wärmeerzeugung (CHF) / Installierte Heizleistung (KW)
</t>
        </r>
      </text>
    </comment>
    <comment ref="N19" authorId="0" shapeId="0">
      <text>
        <r>
          <rPr>
            <b/>
            <sz val="9"/>
            <color indexed="81"/>
            <rFont val="Tahoma"/>
            <family val="2"/>
          </rPr>
          <t>Ian Jenkinson:</t>
        </r>
        <r>
          <rPr>
            <sz val="9"/>
            <color indexed="81"/>
            <rFont val="Tahoma"/>
            <family val="2"/>
          </rPr>
          <t xml:space="preserve">
Wärmeverteilungen (CHF) / Energiebezegsfläche (m2)
</t>
        </r>
      </text>
    </comment>
    <comment ref="X19" authorId="0" shapeId="0">
      <text>
        <r>
          <rPr>
            <b/>
            <sz val="9"/>
            <color indexed="81"/>
            <rFont val="Tahoma"/>
            <family val="2"/>
          </rPr>
          <t>Ian Jenkinson:</t>
        </r>
        <r>
          <rPr>
            <sz val="9"/>
            <color indexed="81"/>
            <rFont val="Tahoma"/>
            <family val="2"/>
          </rPr>
          <t xml:space="preserve">
Wärmeverteilungen (CHF) / Energiebezegsfläche (m2)
</t>
        </r>
      </text>
    </comment>
    <comment ref="AG19" authorId="0" shapeId="0">
      <text>
        <r>
          <rPr>
            <b/>
            <sz val="9"/>
            <color indexed="81"/>
            <rFont val="Tahoma"/>
            <family val="2"/>
          </rPr>
          <t>Ian Jenkinson:</t>
        </r>
        <r>
          <rPr>
            <sz val="9"/>
            <color indexed="81"/>
            <rFont val="Tahoma"/>
            <family val="2"/>
          </rPr>
          <t xml:space="preserve">
Wärmeverteilungen (CHF) / Energiebezegsfläche (m2)
</t>
        </r>
      </text>
    </comment>
    <comment ref="N20" authorId="0" shapeId="0">
      <text>
        <r>
          <rPr>
            <b/>
            <sz val="9"/>
            <color indexed="81"/>
            <rFont val="Tahoma"/>
            <family val="2"/>
          </rPr>
          <t>Ian Jenkinson:</t>
        </r>
        <r>
          <rPr>
            <sz val="9"/>
            <color indexed="81"/>
            <rFont val="Tahoma"/>
            <family val="2"/>
          </rPr>
          <t xml:space="preserve">
Lüftungsanlagen (CHF)  / Gesamtvolumenstrom der Lüftung (m3/h)</t>
        </r>
      </text>
    </comment>
    <comment ref="X20" authorId="0" shapeId="0">
      <text>
        <r>
          <rPr>
            <b/>
            <sz val="9"/>
            <color indexed="81"/>
            <rFont val="Tahoma"/>
            <family val="2"/>
          </rPr>
          <t>Ian Jenkinson:</t>
        </r>
        <r>
          <rPr>
            <sz val="9"/>
            <color indexed="81"/>
            <rFont val="Tahoma"/>
            <family val="2"/>
          </rPr>
          <t xml:space="preserve">
Lüftungsanlagen (CHF)  / Gesamtvolumenstrom der Lüftung (m3/h)</t>
        </r>
      </text>
    </comment>
    <comment ref="AG20" authorId="0" shapeId="0">
      <text>
        <r>
          <rPr>
            <b/>
            <sz val="9"/>
            <color indexed="81"/>
            <rFont val="Tahoma"/>
            <family val="2"/>
          </rPr>
          <t>Ian Jenkinson:</t>
        </r>
        <r>
          <rPr>
            <sz val="9"/>
            <color indexed="81"/>
            <rFont val="Tahoma"/>
            <family val="2"/>
          </rPr>
          <t xml:space="preserve">
Lüftungsanlagen (CHF)  / Gesamtvolumenstrom der Lüftung (m3/h)</t>
        </r>
      </text>
    </comment>
    <comment ref="N21" authorId="0" shapeId="0">
      <text>
        <r>
          <rPr>
            <b/>
            <sz val="9"/>
            <color indexed="81"/>
            <rFont val="Tahoma"/>
            <family val="2"/>
          </rPr>
          <t>Ian Jenkinson:</t>
        </r>
        <r>
          <rPr>
            <sz val="9"/>
            <color indexed="81"/>
            <rFont val="Tahoma"/>
            <family val="2"/>
          </rPr>
          <t xml:space="preserve">
Sanitäranlagen (CHF) / Anzahl Sanitäre Apparate (Stück)</t>
        </r>
      </text>
    </comment>
    <comment ref="X21" authorId="0" shapeId="0">
      <text>
        <r>
          <rPr>
            <b/>
            <sz val="9"/>
            <color indexed="81"/>
            <rFont val="Tahoma"/>
            <family val="2"/>
          </rPr>
          <t>Ian Jenkinson:</t>
        </r>
        <r>
          <rPr>
            <sz val="9"/>
            <color indexed="81"/>
            <rFont val="Tahoma"/>
            <family val="2"/>
          </rPr>
          <t xml:space="preserve">
Sanitäranlagen (CHF) / Anzahl Sanitäre Apparate (Stück)</t>
        </r>
      </text>
    </comment>
    <comment ref="AG21" authorId="0" shapeId="0">
      <text>
        <r>
          <rPr>
            <b/>
            <sz val="9"/>
            <color indexed="81"/>
            <rFont val="Tahoma"/>
            <family val="2"/>
          </rPr>
          <t>Ian Jenkinson:</t>
        </r>
        <r>
          <rPr>
            <sz val="9"/>
            <color indexed="81"/>
            <rFont val="Tahoma"/>
            <family val="2"/>
          </rPr>
          <t xml:space="preserve">
Sanitäranlagen (CHF) / Anzahl Sanitäre Apparate (Stück)</t>
        </r>
      </text>
    </comment>
    <comment ref="N22" authorId="0" shapeId="0">
      <text>
        <r>
          <rPr>
            <b/>
            <sz val="9"/>
            <color indexed="81"/>
            <rFont val="Tahoma"/>
            <family val="2"/>
          </rPr>
          <t>Ian Jenkinson:</t>
        </r>
        <r>
          <rPr>
            <sz val="9"/>
            <color indexed="81"/>
            <rFont val="Tahoma"/>
            <family val="2"/>
          </rPr>
          <t xml:space="preserve">
Kälteanlage (CHF) / Installierte Kälteleistun (KW)</t>
        </r>
      </text>
    </comment>
    <comment ref="X22" authorId="0" shapeId="0">
      <text>
        <r>
          <rPr>
            <b/>
            <sz val="9"/>
            <color indexed="81"/>
            <rFont val="Tahoma"/>
            <family val="2"/>
          </rPr>
          <t>Ian Jenkinson:</t>
        </r>
        <r>
          <rPr>
            <sz val="9"/>
            <color indexed="81"/>
            <rFont val="Tahoma"/>
            <family val="2"/>
          </rPr>
          <t xml:space="preserve">
Kälteanlage (CHF) / Installierte Kälteleistun (KW)</t>
        </r>
      </text>
    </comment>
    <comment ref="AG22" authorId="0" shapeId="0">
      <text>
        <r>
          <rPr>
            <b/>
            <sz val="9"/>
            <color indexed="81"/>
            <rFont val="Tahoma"/>
            <family val="2"/>
          </rPr>
          <t>Ian Jenkinson:</t>
        </r>
        <r>
          <rPr>
            <sz val="9"/>
            <color indexed="81"/>
            <rFont val="Tahoma"/>
            <family val="2"/>
          </rPr>
          <t xml:space="preserve">
Kälteanlage (CHF) / Installierte Kälteleistun (KW)</t>
        </r>
      </text>
    </comment>
    <comment ref="E48" authorId="0" shapeId="0">
      <text>
        <r>
          <rPr>
            <b/>
            <sz val="9"/>
            <color indexed="81"/>
            <rFont val="Tahoma"/>
            <family val="2"/>
          </rPr>
          <t>Ian Jenkinson:</t>
        </r>
        <r>
          <rPr>
            <sz val="9"/>
            <color indexed="81"/>
            <rFont val="Tahoma"/>
            <family val="2"/>
          </rPr>
          <t xml:space="preserve">
Teil Phase (Z.b Wettbewerb Überarbeitung, KS 2, Endkostenprognosen, Bauabrechnung Provisorisch, etc.)</t>
        </r>
      </text>
    </comment>
  </commentList>
</comments>
</file>

<file path=xl/comments6.xml><?xml version="1.0" encoding="utf-8"?>
<comments xmlns="http://schemas.openxmlformats.org/spreadsheetml/2006/main">
  <authors>
    <author>Ian Jenkinson</author>
  </authors>
  <commentList>
    <comment ref="F21" authorId="0" shapeId="0">
      <text>
        <r>
          <rPr>
            <b/>
            <sz val="9"/>
            <color indexed="81"/>
            <rFont val="Tahoma"/>
            <family val="2"/>
          </rPr>
          <t>Ian Jenkinson:</t>
        </r>
        <r>
          <rPr>
            <sz val="9"/>
            <color indexed="81"/>
            <rFont val="Tahoma"/>
            <family val="2"/>
          </rPr>
          <t xml:space="preserve">
Diese Fläche ist Inkl. der Tiefgarage (falls die Tiefgarage innerhalb des Projektperimeters liegt).</t>
        </r>
      </text>
    </comment>
    <comment ref="F22" authorId="0" shapeId="0">
      <text>
        <r>
          <rPr>
            <b/>
            <sz val="9"/>
            <color indexed="81"/>
            <rFont val="Tahoma"/>
            <family val="2"/>
          </rPr>
          <t>Ian Jenkinson:</t>
        </r>
        <r>
          <rPr>
            <sz val="9"/>
            <color indexed="81"/>
            <rFont val="Tahoma"/>
            <family val="2"/>
          </rPr>
          <t xml:space="preserve">
Geschossfläche Tiefgarage ist nur auszufüllen, falls sie innerhalb des Projektperimeters liegt. Diese Flächen sind dann auch in der Zelle Geschossfläche Total (Projektperimeter) zu integrieren.
</t>
        </r>
      </text>
    </comment>
    <comment ref="F23" authorId="0" shapeId="0">
      <text>
        <r>
          <rPr>
            <b/>
            <sz val="9"/>
            <color indexed="81"/>
            <rFont val="Tahoma"/>
            <family val="2"/>
          </rPr>
          <t>Ian Jenkinson:</t>
        </r>
        <r>
          <rPr>
            <sz val="9"/>
            <color indexed="81"/>
            <rFont val="Tahoma"/>
            <family val="2"/>
          </rPr>
          <t xml:space="preserve">
Geschossfläche Tiefgarage ist nur auszufüllen, falls sie innerhalb der Projektperimeters liegt. 
</t>
        </r>
      </text>
    </comment>
  </commentList>
</comments>
</file>

<file path=xl/comments7.xml><?xml version="1.0" encoding="utf-8"?>
<comments xmlns="http://schemas.openxmlformats.org/spreadsheetml/2006/main">
  <authors>
    <author>Ian Jenkinson</author>
  </authors>
  <commentList>
    <comment ref="F21" authorId="0" shapeId="0">
      <text>
        <r>
          <rPr>
            <b/>
            <sz val="9"/>
            <color indexed="81"/>
            <rFont val="Tahoma"/>
            <family val="2"/>
          </rPr>
          <t>Ian Jenkinson:</t>
        </r>
        <r>
          <rPr>
            <sz val="9"/>
            <color indexed="81"/>
            <rFont val="Tahoma"/>
            <family val="2"/>
          </rPr>
          <t xml:space="preserve">
Diese Fläche ist Inkl. der Tiefgarage (wenn der Tiefgarage auch in der Projekt Peremeter ist).</t>
        </r>
      </text>
    </comment>
    <comment ref="F22" authorId="0" shapeId="0">
      <text>
        <r>
          <rPr>
            <b/>
            <sz val="9"/>
            <color indexed="81"/>
            <rFont val="Tahoma"/>
            <family val="2"/>
          </rPr>
          <t>Ian Jenkinson:</t>
        </r>
        <r>
          <rPr>
            <sz val="9"/>
            <color indexed="81"/>
            <rFont val="Tahoma"/>
            <family val="2"/>
          </rPr>
          <t xml:space="preserve">
Geschossfläche Tiefgarage ist nur auszufüllen, wenn es in der Projekt Peremeter legt. Diese Flächen muss auch dann in der Zelle Geschossfläche Total (Projekt Peremeter) zu integrieren.
</t>
        </r>
      </text>
    </comment>
    <comment ref="F23" authorId="0" shapeId="0">
      <text>
        <r>
          <rPr>
            <b/>
            <sz val="9"/>
            <color indexed="81"/>
            <rFont val="Tahoma"/>
            <family val="2"/>
          </rPr>
          <t>Ian Jenkinson:</t>
        </r>
        <r>
          <rPr>
            <sz val="9"/>
            <color indexed="81"/>
            <rFont val="Tahoma"/>
            <family val="2"/>
          </rPr>
          <t xml:space="preserve">
Geschossfläche Tiefgarage ist nur auszufüllen, wenn es in der Projekt Peremeter legt. 
</t>
        </r>
      </text>
    </comment>
  </commentList>
</comments>
</file>

<file path=xl/sharedStrings.xml><?xml version="1.0" encoding="utf-8"?>
<sst xmlns="http://schemas.openxmlformats.org/spreadsheetml/2006/main" count="2472" uniqueCount="819">
  <si>
    <t xml:space="preserve"> </t>
  </si>
  <si>
    <t>Bezeichnung</t>
  </si>
  <si>
    <t>E</t>
  </si>
  <si>
    <t>Menge</t>
  </si>
  <si>
    <t>Anz.</t>
  </si>
  <si>
    <t>Grundstücksfläche</t>
  </si>
  <si>
    <t>GSF</t>
  </si>
  <si>
    <t>m2</t>
  </si>
  <si>
    <t>Bearbeitete Umgebungsfläche</t>
  </si>
  <si>
    <t>BUF</t>
  </si>
  <si>
    <t>Gebäudevolumen</t>
  </si>
  <si>
    <t>GV</t>
  </si>
  <si>
    <t>m3</t>
  </si>
  <si>
    <t>GGF</t>
  </si>
  <si>
    <t>GF</t>
  </si>
  <si>
    <t>AGF</t>
  </si>
  <si>
    <t>Hauptnutzfläche</t>
  </si>
  <si>
    <t>HNF</t>
  </si>
  <si>
    <t>BKP</t>
  </si>
  <si>
    <t>CHF</t>
  </si>
  <si>
    <t>0</t>
  </si>
  <si>
    <t>Gebäude</t>
  </si>
  <si>
    <t>Betriebseinrichtung /-ausrüstung</t>
  </si>
  <si>
    <t>Umgebung</t>
  </si>
  <si>
    <t>Baunebenkosten</t>
  </si>
  <si>
    <t>Ausstattung</t>
  </si>
  <si>
    <t>AWF</t>
  </si>
  <si>
    <t>Transportanlagen</t>
  </si>
  <si>
    <t>Betrag</t>
  </si>
  <si>
    <t>Baugrube</t>
  </si>
  <si>
    <t>Rohbau 1</t>
  </si>
  <si>
    <t>Rohbau 2</t>
  </si>
  <si>
    <t>Elektroanlagen</t>
  </si>
  <si>
    <t>Ausbau 1</t>
  </si>
  <si>
    <t>Ausbau 2</t>
  </si>
  <si>
    <t>Funktionale Einheiten (Nutzungseinheiten)</t>
  </si>
  <si>
    <t>Aussenwandfläche</t>
  </si>
  <si>
    <t>HNF 1</t>
  </si>
  <si>
    <t>HNF 2</t>
  </si>
  <si>
    <t>HNF 3</t>
  </si>
  <si>
    <t>HNF 4</t>
  </si>
  <si>
    <t>NHF 5</t>
  </si>
  <si>
    <t>HNF 6</t>
  </si>
  <si>
    <t>Bauende</t>
  </si>
  <si>
    <t>BKP 1-9 / FE</t>
  </si>
  <si>
    <t>BKP 1-9 / HNF</t>
  </si>
  <si>
    <t>BKP 1-9 / GF</t>
  </si>
  <si>
    <t>BKP 1-9 / GV</t>
  </si>
  <si>
    <t>BKP 2 / FE</t>
  </si>
  <si>
    <t>BKP 2 / HNF</t>
  </si>
  <si>
    <t>BKP 2 / GF</t>
  </si>
  <si>
    <t>BKP 2 / GV</t>
  </si>
  <si>
    <t>Gebäudegrundfläche</t>
  </si>
  <si>
    <t>Mengekennwert</t>
  </si>
  <si>
    <t>Aussenwandfläche/GF</t>
  </si>
  <si>
    <t>Wettbewerb</t>
  </si>
  <si>
    <t>studien</t>
  </si>
  <si>
    <t>Vorprojekt</t>
  </si>
  <si>
    <t>Bauprojekt</t>
  </si>
  <si>
    <t>Energie Standard</t>
  </si>
  <si>
    <t>Kennwert</t>
  </si>
  <si>
    <t>%</t>
  </si>
  <si>
    <t>Raumprogramm (RFB / SIA d 0165)</t>
  </si>
  <si>
    <t xml:space="preserve">Büroarbeit </t>
  </si>
  <si>
    <t>Bildung, Unterricht &amp; Kultur</t>
  </si>
  <si>
    <t>(Differenz)</t>
  </si>
  <si>
    <t>Kosten Änderung</t>
  </si>
  <si>
    <t>Baubeginn</t>
  </si>
  <si>
    <t>Eingriffstiefe</t>
  </si>
  <si>
    <t xml:space="preserve">Wohnen und Aufenthalt </t>
  </si>
  <si>
    <t>Datum der Prognose</t>
  </si>
  <si>
    <t>Kostenzusammenstellung gemäss Baukostenplan (BKP)</t>
  </si>
  <si>
    <t>Teuerung der letzen Phase</t>
  </si>
  <si>
    <t>Total Begründet</t>
  </si>
  <si>
    <t>Provisorien</t>
  </si>
  <si>
    <t>HNF: SIA d0165</t>
  </si>
  <si>
    <t>GV: SIA 416</t>
  </si>
  <si>
    <t>GF (Total): SIA 416</t>
  </si>
  <si>
    <t>Baukostenkennwerte: Kostenentwicklung</t>
  </si>
  <si>
    <t>PROJEKT</t>
  </si>
  <si>
    <t>Projekt 1</t>
  </si>
  <si>
    <t>Projekt 2</t>
  </si>
  <si>
    <t>Projekt 3</t>
  </si>
  <si>
    <t>Vergleichsprojekte</t>
  </si>
  <si>
    <t>Vorbereitungsarbeiten &amp; Provisorium</t>
  </si>
  <si>
    <t>TOTAL (nicht begründet)</t>
  </si>
  <si>
    <t>Erschliessungskosten/Altlast (Boden) (ohne Landkosten)</t>
  </si>
  <si>
    <t>Kostenänderung</t>
  </si>
  <si>
    <t>TOTAL (begründet)</t>
  </si>
  <si>
    <t>HNF/GF (ohne Tiefgarage)</t>
  </si>
  <si>
    <t>HNF/GF (mit Tiefgarage)</t>
  </si>
  <si>
    <t>Aussengeschossfläche (Balkon/Laubengang)</t>
  </si>
  <si>
    <t>Erschliessungskosten/Altlast (Boden)</t>
  </si>
  <si>
    <t>Kredit (inkl. Bauherrenzuschlag +10% oder +15%)</t>
  </si>
  <si>
    <t>Erstellungskosten inkl. Erschliessungskosten</t>
  </si>
  <si>
    <t>Grundmengen</t>
  </si>
  <si>
    <t>Kostenzusammenstellung gemäss Baukostenplan, inkl. MwSt</t>
  </si>
  <si>
    <t>KS</t>
  </si>
  <si>
    <t>KV</t>
  </si>
  <si>
    <t>Text</t>
  </si>
  <si>
    <t>20 Baugrube</t>
  </si>
  <si>
    <t>21 Rohbau 1</t>
  </si>
  <si>
    <t>22 Rohbau 2</t>
  </si>
  <si>
    <t>23 Elektroanlagen</t>
  </si>
  <si>
    <t>26 Transportanlagen</t>
  </si>
  <si>
    <t>27 Ausbau 1</t>
  </si>
  <si>
    <t>28 Ausbau 2</t>
  </si>
  <si>
    <t>29 Honorare</t>
  </si>
  <si>
    <t>Total begründete Kosten</t>
  </si>
  <si>
    <t>Total Kostenänderungen</t>
  </si>
  <si>
    <t>Datum</t>
  </si>
  <si>
    <t>Erstellungskosten inkl. Eschliessungskosten (inkl. MwSt)</t>
  </si>
  <si>
    <t>Bauherrenzuschlag (+10% / + 15%)</t>
  </si>
  <si>
    <t>Eingreiffstiefe</t>
  </si>
  <si>
    <t>Energiestandard</t>
  </si>
  <si>
    <t>Kostenstand</t>
  </si>
  <si>
    <t>Neubau</t>
  </si>
  <si>
    <t>Instandhaltung</t>
  </si>
  <si>
    <t>nicht geeignet als Vergleichsobjekt</t>
  </si>
  <si>
    <t>SCH: Hort / Kindergarten / Kinderkrippe (SOZ)</t>
  </si>
  <si>
    <t>SCH: Schulhaus</t>
  </si>
  <si>
    <t>SCH: Schulschwimmanlage</t>
  </si>
  <si>
    <t>SPO: Garderobengebäude</t>
  </si>
  <si>
    <r>
      <t>A</t>
    </r>
    <r>
      <rPr>
        <vertAlign val="subscript"/>
        <sz val="9"/>
        <rFont val="Arial"/>
        <family val="2"/>
      </rPr>
      <t>E</t>
    </r>
  </si>
  <si>
    <t>Flächen SIA 416 (504 416)</t>
  </si>
  <si>
    <t>VER: Schutz und Rettung</t>
  </si>
  <si>
    <t>KUL: Grünanlage</t>
  </si>
  <si>
    <t>VER: Sonstiges</t>
  </si>
  <si>
    <t>WER: Busgarage</t>
  </si>
  <si>
    <t>WER: Tramdepot</t>
  </si>
  <si>
    <t>WER: Werkbauten (VBZ)</t>
  </si>
  <si>
    <t>WER: Werkbauten (TAZ/GLA)</t>
  </si>
  <si>
    <t>SCH: Turnhallen</t>
  </si>
  <si>
    <t>WOH: Bauenhaus</t>
  </si>
  <si>
    <t>WOH: Wohnblock</t>
  </si>
  <si>
    <t>WOH: Wohnsiedlung</t>
  </si>
  <si>
    <t>GEW: Gastgewerbe</t>
  </si>
  <si>
    <t>Machbarkeits-</t>
  </si>
  <si>
    <t>GF (ohne TG): SIA 416</t>
  </si>
  <si>
    <t>Bau-</t>
  </si>
  <si>
    <t>abrechnung</t>
  </si>
  <si>
    <t xml:space="preserve">Teil Phase </t>
  </si>
  <si>
    <t>Ausstattung / Kunst am Bau</t>
  </si>
  <si>
    <t>7/8</t>
  </si>
  <si>
    <t>Medizisch Apparate und Einrichtungen</t>
  </si>
  <si>
    <t>GEW: Sonstiges</t>
  </si>
  <si>
    <t>WOH: Sonstiges</t>
  </si>
  <si>
    <t>SPO: Sonstiges</t>
  </si>
  <si>
    <t>SCH: Sonstiges</t>
  </si>
  <si>
    <t>WER: Sonstiges</t>
  </si>
  <si>
    <t>GES: Sonstiges</t>
  </si>
  <si>
    <t xml:space="preserve">Gebäudeart </t>
  </si>
  <si>
    <t>Anzahl.</t>
  </si>
  <si>
    <t>Index Jahr 2000</t>
  </si>
  <si>
    <t>Index Jahr 2001</t>
  </si>
  <si>
    <t>Index Jahr 2002</t>
  </si>
  <si>
    <t>Index Jahr 2003</t>
  </si>
  <si>
    <t>Index Jahr 2004</t>
  </si>
  <si>
    <t>Index Jahr 2005</t>
  </si>
  <si>
    <t>Index Jahr 2006</t>
  </si>
  <si>
    <t>Index Jahr 2007</t>
  </si>
  <si>
    <t>Index Jahr 2008</t>
  </si>
  <si>
    <t>Index Jahr 2009</t>
  </si>
  <si>
    <t>Index Jahr 2010</t>
  </si>
  <si>
    <t>Index Jahr 2011</t>
  </si>
  <si>
    <t>Index Jahr 2012</t>
  </si>
  <si>
    <t>Index Jahr 2013</t>
  </si>
  <si>
    <t>Index Jahr 2014</t>
  </si>
  <si>
    <t>Index Jahr 2015</t>
  </si>
  <si>
    <t>Index Jahr 2016</t>
  </si>
  <si>
    <t>Index Jahr 2017</t>
  </si>
  <si>
    <t>Index Jahr 2018</t>
  </si>
  <si>
    <t>Index Jahr 2019</t>
  </si>
  <si>
    <t>Index Jahr 2020</t>
  </si>
  <si>
    <t>Gültige Phase aus Eingabe</t>
  </si>
  <si>
    <t>Index-Stand</t>
  </si>
  <si>
    <t>Jahr</t>
  </si>
  <si>
    <t>Jahr aus Vergleichsprojekt 1</t>
  </si>
  <si>
    <t>Jahr aus Vergleichsprojekt 2</t>
  </si>
  <si>
    <t>Jahr aus Vergleichsprojekt 3</t>
  </si>
  <si>
    <t>Projektname</t>
  </si>
  <si>
    <t>Q</t>
  </si>
  <si>
    <t>St.</t>
  </si>
  <si>
    <t>m3/h</t>
  </si>
  <si>
    <t>kW</t>
  </si>
  <si>
    <t>242 Wärmeerzeugung</t>
  </si>
  <si>
    <t>243/248 Wärmeverteilung (ink. Dämmung)</t>
  </si>
  <si>
    <t>244/245 Lüftungsanlagen / Klimaanlagen</t>
  </si>
  <si>
    <t>25 Sanitäranlagen (ohne Kücheneinrichtung)</t>
  </si>
  <si>
    <t>258 Kücheneinrichtung (Grossküchen in BKP 3)</t>
  </si>
  <si>
    <t>Allgemine Projekt-Beschrieb</t>
  </si>
  <si>
    <t>Wärmeerzeugung</t>
  </si>
  <si>
    <t>Wärmeverteilung (ink. Dämmung)</t>
  </si>
  <si>
    <t>Lüftungsanlagen / Klimaanlagen</t>
  </si>
  <si>
    <t>Sanitäranlagen (ohne Küche)</t>
  </si>
  <si>
    <t>Kücheneinrichtung (Grossküchen in BKP 3)</t>
  </si>
  <si>
    <t>Provisorium</t>
  </si>
  <si>
    <t>Erstellungskosten inkl. Eschliessungskosten &amp; Provisorium (inkl. MWST)</t>
  </si>
  <si>
    <t>Erstellungskosten ohne Provisorium (inkl. MWST)</t>
  </si>
  <si>
    <t>Auswertung</t>
  </si>
  <si>
    <t>Auftragsnummer (BAV ohne Phasenbezeichnung)</t>
  </si>
  <si>
    <t>Nummer</t>
  </si>
  <si>
    <t>Indexstand von der neuesten Phasen übernehmen und  alle gleichstellen (Alle Kosten Aufrechnen)</t>
  </si>
  <si>
    <t>CHF/m2 HNF</t>
  </si>
  <si>
    <t>CHF/m2 GF</t>
  </si>
  <si>
    <t>CHF/m3</t>
  </si>
  <si>
    <t>CHF/FE</t>
  </si>
  <si>
    <t>Andere</t>
  </si>
  <si>
    <t>Erstellungskosten ohne Provisorium (inkl. MwSt)</t>
  </si>
  <si>
    <t>Zusätzliche Zeile</t>
  </si>
  <si>
    <t>Erstellungskosten inkl. Eschliessungskosten (inkl. MWST)</t>
  </si>
  <si>
    <t>Geschossfläche des Projektperimeters (Gebäude)</t>
  </si>
  <si>
    <t>Geschossfläche des Projektperimeters (Total)</t>
  </si>
  <si>
    <t>Geschossfläche des Projektperimeters (Tiefgarage)</t>
  </si>
  <si>
    <t>Abgefüllte Bodenplatte (wird für Mengenkennwert benötigt)</t>
  </si>
  <si>
    <t>Abgefüllte Aussenwandfläche (wird für Mengenkennwert benötigt)</t>
  </si>
  <si>
    <t>Dachfläche Aussenwandfläche (wird für Mengenkennwert benötigt)</t>
  </si>
  <si>
    <t>Fenster, Aussentüren und -tore (oberirdisch) (wird für Mengenkennwert benötigt)</t>
  </si>
  <si>
    <t>Aussenwandfläche oberirdisch (ohne Fenster) (wird für Mengenkennwert benötigt)</t>
  </si>
  <si>
    <t>Mengekennwert (aus Darstellung_Benchmarkvergleich wird für Berechnung benötigt da jeweils nur immer Kennwerte aus der aktuellen Phase berechnet werden)</t>
  </si>
  <si>
    <t>Vergleichsprojekte Aussenwandfläche Total</t>
  </si>
  <si>
    <t>Selektierter Index aus Phasen 3-7 wird für Formel in "Eingaben" Zeile 104 benötigt</t>
  </si>
  <si>
    <t>3. Def. Bestellung</t>
  </si>
  <si>
    <t>4. Vorprojekt GKS</t>
  </si>
  <si>
    <t>5. Vorprojekt KS</t>
  </si>
  <si>
    <t>6. Bauprojekt KV</t>
  </si>
  <si>
    <t>7. Bauabrechnung Prov.</t>
  </si>
  <si>
    <t>Gebäudeart</t>
  </si>
  <si>
    <t>Eingriffstiefe / Energiestandard</t>
  </si>
  <si>
    <t>Termine: Baubeginn / Bauende</t>
  </si>
  <si>
    <t>Datum:</t>
  </si>
  <si>
    <t>(Baubeginn)</t>
  </si>
  <si>
    <t>(Bauende)</t>
  </si>
  <si>
    <t xml:space="preserve">Datum:  </t>
  </si>
  <si>
    <t xml:space="preserve">Prognose/Bauabrechnung: Datum:       </t>
  </si>
  <si>
    <t>Grundmengen (ausgewertet)</t>
  </si>
  <si>
    <t>FQ (/GF)</t>
  </si>
  <si>
    <t>Hauptnutzfläche (HNF 1-6)</t>
  </si>
  <si>
    <t>Gemäss SIA 416 (SIA d0165 / RFB)</t>
  </si>
  <si>
    <t>HNF/GF</t>
  </si>
  <si>
    <t>Gemäss SIA 416</t>
  </si>
  <si>
    <t>% Von Gebäude GF</t>
  </si>
  <si>
    <r>
      <t>GF</t>
    </r>
    <r>
      <rPr>
        <sz val="8"/>
        <rFont val="Arial"/>
        <family val="2"/>
      </rPr>
      <t xml:space="preserve"> (Ge)</t>
    </r>
  </si>
  <si>
    <t>% von GF (Projekt P)</t>
  </si>
  <si>
    <r>
      <t>GF</t>
    </r>
    <r>
      <rPr>
        <sz val="8"/>
        <rFont val="Arial"/>
        <family val="2"/>
      </rPr>
      <t xml:space="preserve"> (TG)</t>
    </r>
  </si>
  <si>
    <t>GV/GF</t>
  </si>
  <si>
    <t>GSF/GF</t>
  </si>
  <si>
    <t xml:space="preserve">Gebäudegrundfläche </t>
  </si>
  <si>
    <t>GGF/GF</t>
  </si>
  <si>
    <t>Umgebungsfläche</t>
  </si>
  <si>
    <t>UF</t>
  </si>
  <si>
    <t>UF/GF</t>
  </si>
  <si>
    <t>BUF/UF</t>
  </si>
  <si>
    <t>AGF/GF</t>
  </si>
  <si>
    <t>AWF/GF</t>
  </si>
  <si>
    <t xml:space="preserve">Energiebezugsfläche </t>
  </si>
  <si>
    <t>Gemäss SIA 416\1</t>
  </si>
  <si>
    <r>
      <t>A</t>
    </r>
    <r>
      <rPr>
        <vertAlign val="subscript"/>
        <sz val="9"/>
        <rFont val="Arial"/>
        <family val="2"/>
      </rPr>
      <t>E</t>
    </r>
    <r>
      <rPr>
        <sz val="9"/>
        <rFont val="Arial"/>
        <family val="2"/>
      </rPr>
      <t>/GF</t>
    </r>
  </si>
  <si>
    <t>V/m3</t>
  </si>
  <si>
    <t>Installierte Heizleistung</t>
  </si>
  <si>
    <t>KW</t>
  </si>
  <si>
    <t>Q/HNF</t>
  </si>
  <si>
    <t>Kostenzusammenstellung nach Baukostenplan (BKP)</t>
  </si>
  <si>
    <t>BE</t>
  </si>
  <si>
    <t>/BE</t>
  </si>
  <si>
    <t>/m3 GV</t>
  </si>
  <si>
    <t>/m2 GF</t>
  </si>
  <si>
    <t>/m2 HNF</t>
  </si>
  <si>
    <t>/ FE</t>
  </si>
  <si>
    <t>Vorbereitungsarbeiten ohne Provisorien</t>
  </si>
  <si>
    <t>Erstellungskosten BKP 1-9 (ohne Provisorium)</t>
  </si>
  <si>
    <t>Grundstück (ohne Grundstückserwerb)</t>
  </si>
  <si>
    <t>Erstellungskosten BKP 0-9 (ohne Provisorium)</t>
  </si>
  <si>
    <t>Provisorium (Provisorishe Gebäude)</t>
  </si>
  <si>
    <t>Q (HL)</t>
  </si>
  <si>
    <r>
      <t xml:space="preserve">V </t>
    </r>
    <r>
      <rPr>
        <sz val="8"/>
        <rFont val="Arial"/>
        <family val="2"/>
      </rPr>
      <t>(m3/h)</t>
    </r>
  </si>
  <si>
    <t>Sanitäranlagen (ohne Kücheneinrichtung)</t>
  </si>
  <si>
    <t>Gebäudekosten total (inkl. MWST)</t>
  </si>
  <si>
    <t>Baukostenkennwerte: Weitere Information</t>
  </si>
  <si>
    <t>Haupnutzfläche (1-6)</t>
  </si>
  <si>
    <t>Gemäss SIA 416 /d0165 (RFB)</t>
  </si>
  <si>
    <t>HNF 5</t>
  </si>
  <si>
    <t>Index alt</t>
  </si>
  <si>
    <t>Index neu</t>
  </si>
  <si>
    <t>Auftrags-</t>
  </si>
  <si>
    <t>Auftrags-
vereinbarung</t>
  </si>
  <si>
    <t>vereinbarung</t>
  </si>
  <si>
    <t>Beschrieb</t>
  </si>
  <si>
    <t>Auftragsvereinbarung</t>
  </si>
  <si>
    <t>Vorprojekt KS</t>
  </si>
  <si>
    <t>BKP 23: Elekrtoanlage</t>
  </si>
  <si>
    <t>Revidierung bestehenden Anlage (minimaler Aufwand)</t>
  </si>
  <si>
    <t>Revidierung bestehenden Anlage (grosser Aufwand)</t>
  </si>
  <si>
    <t>Installation inkl. Minergie Beleuchtung, Elektrische Sonnenschutz, Brandmeldeanlage, Videoüberwachung, Zutrittskonrolle und Multimedia</t>
  </si>
  <si>
    <t>Installation (Stark und Schwachstrom)</t>
  </si>
  <si>
    <t>Installation (nur Schwachstrom)</t>
  </si>
  <si>
    <t>Sonst: …….</t>
  </si>
  <si>
    <t>BKP 242: Wärmeerzeugung</t>
  </si>
  <si>
    <t>Revidierung bestehenden Anlage inkl. Brauchwarmwasser-Anlage (minimaler Aufwand)</t>
  </si>
  <si>
    <t>Revidierung bestehenden Anlage inkl. Brauchwarmwasser-Anlage (grosser Aufwand)</t>
  </si>
  <si>
    <t>Fernwärme mit Plattentauscher</t>
  </si>
  <si>
    <t>Fernwärme mit Wärmepumpe</t>
  </si>
  <si>
    <t>Pellets-Heizkessel und ……..</t>
  </si>
  <si>
    <t>Stückholzheizkessel und ……</t>
  </si>
  <si>
    <t>Erdwärmesondenanlage mit WP und ……</t>
  </si>
  <si>
    <t>Grundwasseranlage mit WP und ……</t>
  </si>
  <si>
    <t>Luft / Wasser WP und …….</t>
  </si>
  <si>
    <t>BHKW und ……</t>
  </si>
  <si>
    <t>Gaskessel</t>
  </si>
  <si>
    <t>Ölkessel</t>
  </si>
  <si>
    <t>BKP 243: Wärmeverteilung</t>
  </si>
  <si>
    <t>Thermostatventile nachrüsten</t>
  </si>
  <si>
    <t>Anpassungen/Erweiterungen (minimaler Aufwand)</t>
  </si>
  <si>
    <t>Anpassungen/Erweiterungen (grosser Aufwand)</t>
  </si>
  <si>
    <t>Neue Wärmeverteilung (Heizkörper)</t>
  </si>
  <si>
    <t>Neue Wärmeverteilung (Bodenheizung)</t>
  </si>
  <si>
    <t>BKP 244/245: Lüftung/Klimaanlage</t>
  </si>
  <si>
    <t>Anpassungen/Erweiterungen Lüftung inkl./exkl. Klimaanlage (minimaler Aufwand)</t>
  </si>
  <si>
    <t>Anpassungen/Erweiterungen Lüftung inkl./exkl. Klimaanlage (grosser Aufwand)</t>
  </si>
  <si>
    <t>Abluft Küche und Bad/WC</t>
  </si>
  <si>
    <t>Lüftungsanlage mit/ohne WRG</t>
  </si>
  <si>
    <t>Lüftungsanlage mit WRG und Volumenstromregelung, Befeuchtung, Klimaanlage</t>
  </si>
  <si>
    <t>BKP 246: Kälteanlage</t>
  </si>
  <si>
    <t>Gewerbliche Kälteanlage</t>
  </si>
  <si>
    <t>BKP 25: Sanitär</t>
  </si>
  <si>
    <t>Vollständiger Ersatz der Sanitäranlagen, inkl. Speicher, Sprinkleranlage,1000m2 Solaranlage</t>
  </si>
  <si>
    <t>Sanitäranlage inkl. Speicher, Sprinkleranlage, 1000m2 Solaranlage</t>
  </si>
  <si>
    <t>Erstellungskosten BKP 1-9 (ohne Provisorien)</t>
  </si>
  <si>
    <t>Provisorien (Provisorische Gebäude)</t>
  </si>
  <si>
    <t>Energiebezugsfläche (SIA 416\1)</t>
  </si>
  <si>
    <t>Sonstige Gründe: Welche?</t>
  </si>
  <si>
    <t>Baukostenkennwerte: Eingabe</t>
  </si>
  <si>
    <t>Baukostenkennwerte: Prognose/Bauabrechnung</t>
  </si>
  <si>
    <t xml:space="preserve">Sonstige Gründe:
Welche?                                                                     </t>
  </si>
  <si>
    <t>Link zum Faltblatt / Schlussdokumentation</t>
  </si>
  <si>
    <t>Produktion, Hand &amp; Machinenarbeit</t>
  </si>
  <si>
    <t>Geschossflächen des gesamten Gebäudes</t>
  </si>
  <si>
    <t>Erschliessungskosten/Altlasten (Boden)</t>
  </si>
  <si>
    <t>Erstellungskosten (inkl. MWST)</t>
  </si>
  <si>
    <t>Allgemeine Projekt-Beschrieb</t>
  </si>
  <si>
    <t xml:space="preserve">GF (Total): SIA 416   </t>
  </si>
  <si>
    <t xml:space="preserve">HNF: SIA d0165   </t>
  </si>
  <si>
    <t xml:space="preserve">GF (ohne TG)   </t>
  </si>
  <si>
    <t xml:space="preserve">GV: SIA 416   </t>
  </si>
  <si>
    <t>Total nicht begründete Kosten</t>
  </si>
  <si>
    <t>Erschliessungskosten/Altlast (Boden, ohne Landkosten)</t>
  </si>
  <si>
    <t>Allgemeine Projektbeschriebe</t>
  </si>
  <si>
    <t>Kosten aufgerechnet auf Kostenstand (für Vergeich)</t>
  </si>
  <si>
    <t>Geschossfläche Total (Projektperimeter)</t>
  </si>
  <si>
    <t>Geschossfläche Gebäude (Projektper.)</t>
  </si>
  <si>
    <t>Geschossfläche Tiefgarage (Projektper.)</t>
  </si>
  <si>
    <r>
      <t xml:space="preserve">Aussengeschossfläche </t>
    </r>
    <r>
      <rPr>
        <sz val="8"/>
        <rFont val="Arial"/>
        <family val="2"/>
      </rPr>
      <t>(Balkon/Laubengang)</t>
    </r>
  </si>
  <si>
    <t xml:space="preserve">Erstellungskosten BKP 0-9 </t>
  </si>
  <si>
    <t>(inkl. Altlasten, Erschliessung und Provisorium)</t>
  </si>
  <si>
    <t>HNF 1/GF</t>
  </si>
  <si>
    <t>HNF 2/GF</t>
  </si>
  <si>
    <t>HNF 3/GF</t>
  </si>
  <si>
    <t>HNF 4/GF</t>
  </si>
  <si>
    <t>HNF 5/GF</t>
  </si>
  <si>
    <t>HNF 6/GF</t>
  </si>
  <si>
    <t>BAV / Adresse</t>
  </si>
  <si>
    <t>Vorbereitungsarbeiten (ohne Provisorien)</t>
  </si>
  <si>
    <r>
      <t xml:space="preserve">Vorbereitungsarbeiten </t>
    </r>
    <r>
      <rPr>
        <b/>
        <sz val="9"/>
        <rFont val="Arial"/>
        <family val="2"/>
      </rPr>
      <t>ohne Provisorien</t>
    </r>
  </si>
  <si>
    <t>BKP 1-9</t>
  </si>
  <si>
    <t>BKP 0-9</t>
  </si>
  <si>
    <t>GES: Pflegezentrum</t>
  </si>
  <si>
    <t>VER: Rechenzentrum</t>
  </si>
  <si>
    <t>WOH: Wohnungen / Gewerbe / Restaurant</t>
  </si>
  <si>
    <t>Auftragsnummer / Projektname</t>
  </si>
  <si>
    <t>Adresse</t>
  </si>
  <si>
    <t>241/242 Wärmeerzeugung</t>
  </si>
  <si>
    <t>Flächen eBKP-H (SN 506 511:2012)</t>
  </si>
  <si>
    <t>FBF</t>
  </si>
  <si>
    <t>E1: Fläche Aussenwand unter Terrain</t>
  </si>
  <si>
    <t>FAWU</t>
  </si>
  <si>
    <t>E2: Fläche Aussenwand über Terrain</t>
  </si>
  <si>
    <t>FAWUE</t>
  </si>
  <si>
    <t>E3: Fläche Einbaute zu Aussenwand (Fenster etc.)</t>
  </si>
  <si>
    <t>FEA</t>
  </si>
  <si>
    <t>FDH-U</t>
  </si>
  <si>
    <t>FDH-UE</t>
  </si>
  <si>
    <t>E  : Äussere Wandbekleidung Gebäude</t>
  </si>
  <si>
    <t>FAW</t>
  </si>
  <si>
    <t>F1: Fläche Dachhaut</t>
  </si>
  <si>
    <t>FDH</t>
  </si>
  <si>
    <t>AAW</t>
  </si>
  <si>
    <t>VD7</t>
  </si>
  <si>
    <t>Anzahl Parkplätze</t>
  </si>
  <si>
    <t>AP</t>
  </si>
  <si>
    <t>Fläche Einbaute zu Aussenwand (FEA) / Fläche Aussenwand über Terrain (FAWUE)</t>
  </si>
  <si>
    <t>Gebäudehülle (Boden: FBF + Fassade: FAW + Dach FDH) / GF</t>
  </si>
  <si>
    <t>Äussere Wandbekleidung Gebäude (FAW) / GF</t>
  </si>
  <si>
    <t>Gebäudehülle (Boden+Fassade+Dach) / GF</t>
  </si>
  <si>
    <t>m2 Einbaute zu AussenW.  / m2 Aussenwand über Terrain</t>
  </si>
  <si>
    <t>Fläche Bodenplatte, Fundament</t>
  </si>
  <si>
    <t>FBF/GF</t>
  </si>
  <si>
    <t>Fläche Aussenwand unter Terrain</t>
  </si>
  <si>
    <t>Fläche Aussenwand über Terrain</t>
  </si>
  <si>
    <t>Fläche Einbaute zu Aussenwand (Fenster)</t>
  </si>
  <si>
    <t>Fläche Dachhaut</t>
  </si>
  <si>
    <t>FEA/GF</t>
  </si>
  <si>
    <t>FAWU/GF</t>
  </si>
  <si>
    <t>FAWUE/GF</t>
  </si>
  <si>
    <t>FDH/GF</t>
  </si>
  <si>
    <t>Anzahl Anschlusspunkte ("Sanitär")</t>
  </si>
  <si>
    <t>m3/h / GF</t>
  </si>
  <si>
    <t>AAW./GF</t>
  </si>
  <si>
    <t>GF (Tiefgarage) / AP</t>
  </si>
  <si>
    <r>
      <t>AAW</t>
    </r>
    <r>
      <rPr>
        <sz val="8"/>
        <rFont val="Arial"/>
        <family val="2"/>
      </rPr>
      <t>(st)</t>
    </r>
  </si>
  <si>
    <t xml:space="preserve">Gemäss e-BKP-H </t>
  </si>
  <si>
    <t>25 Sanitäranlagen: Solar (nur Warmwasser)</t>
  </si>
  <si>
    <t>Sanitäranlagen: Solar (nur Warmwasser)</t>
  </si>
  <si>
    <t>244/245 Lüftungsanlagen/Klimaanlagen</t>
  </si>
  <si>
    <r>
      <t xml:space="preserve">Q </t>
    </r>
    <r>
      <rPr>
        <vertAlign val="subscript"/>
        <sz val="9"/>
        <rFont val="Arial"/>
        <family val="2"/>
      </rPr>
      <t>(WW)</t>
    </r>
  </si>
  <si>
    <t>Wärmebedarf Warmwasser mit Solar</t>
  </si>
  <si>
    <r>
      <t>Q</t>
    </r>
    <r>
      <rPr>
        <vertAlign val="subscript"/>
        <sz val="9"/>
        <rFont val="Arial"/>
        <family val="2"/>
      </rPr>
      <t>WW</t>
    </r>
  </si>
  <si>
    <t>-</t>
  </si>
  <si>
    <t>Ersatz-Neubau</t>
  </si>
  <si>
    <t>Fernwärme, neuer Anschluss</t>
  </si>
  <si>
    <t>Revidieren der bestehenden Anlage</t>
  </si>
  <si>
    <t>Neue Lüftungsanlage, mit WRG, mit Klimaanlage</t>
  </si>
  <si>
    <t>Instandsetzung wie bestehend</t>
  </si>
  <si>
    <t>Architekt</t>
  </si>
  <si>
    <t>Architekt und Bauleitungsbüro</t>
  </si>
  <si>
    <t>Architekt und HLKS-Planer</t>
  </si>
  <si>
    <t>Architekt, Bauleitungsbüro und HLKS-Planer</t>
  </si>
  <si>
    <t>Architekt, Bauleitungsbüro, HLKS-Planer und weitere</t>
  </si>
  <si>
    <t>Kleinere Arbeiten, Aushub für Fassaden Dämmung etc.</t>
  </si>
  <si>
    <t>Minimaler Aufwand</t>
  </si>
  <si>
    <t>Nicht unterkellert, Rodungen, Bodenplatte</t>
  </si>
  <si>
    <t>Eingeschossig Unterkellert, Rodungen, Aushub, Baugrubensicherung, Hinterfüllungen</t>
  </si>
  <si>
    <t>Einfache Konstruktion Leichtbau</t>
  </si>
  <si>
    <t>Komplexe Konstruktion Leichtbau</t>
  </si>
  <si>
    <t>Einfache Konstruktion, Massivbau, Flachdach</t>
  </si>
  <si>
    <t>Einfache Konstruktion, Massivbau, Steildach</t>
  </si>
  <si>
    <t>Komplexe Konstruktion Massivbau, Steildach</t>
  </si>
  <si>
    <t>Einfache Stark- und Schwachstromanlage</t>
  </si>
  <si>
    <t>Normale Stark- und Schwachstromanlage</t>
  </si>
  <si>
    <t>Komplexe Stark- und Schwachstromanlage</t>
  </si>
  <si>
    <t>Hochtechnisierte, neue Stark- und Schwachstromanlage, Sicherheitsanlagen</t>
  </si>
  <si>
    <t>Keine</t>
  </si>
  <si>
    <t>Einfache Wärmeerzeugung Oel / Gas</t>
  </si>
  <si>
    <t>Einfache Wärmeerzeugung Oel / Gas kombiniert mit alternativer Energiequelle</t>
  </si>
  <si>
    <t>Wärmepumpe mit Kollektoren</t>
  </si>
  <si>
    <t>Wärmepumpe mit Erdsonen</t>
  </si>
  <si>
    <t>Kombination diverser Wärmeerzeuger</t>
  </si>
  <si>
    <t>Radiatoren</t>
  </si>
  <si>
    <t>Bodenheizung</t>
  </si>
  <si>
    <t>Luft</t>
  </si>
  <si>
    <t>Lüftungsanlage mit WRG</t>
  </si>
  <si>
    <t>Lüftungsanlage mit WRG, Klimaanlage</t>
  </si>
  <si>
    <t>örtliche Einzellüfter</t>
  </si>
  <si>
    <t>örtlcher Einzelüfter, Kleinklimageräte</t>
  </si>
  <si>
    <t>Einfache Sanitäranlage</t>
  </si>
  <si>
    <t>Normale Sanitäranlage</t>
  </si>
  <si>
    <t>Komplexe Sanitäranlage</t>
  </si>
  <si>
    <t>Komplexe Sanitäranlage, Brandlöschanlage</t>
  </si>
  <si>
    <t>Einfacher Ausbau</t>
  </si>
  <si>
    <t>Normaler Ausbau</t>
  </si>
  <si>
    <t>Komplexer Ausbau</t>
  </si>
  <si>
    <t>Komplexer und exklusiver Ausbau</t>
  </si>
  <si>
    <t>Bauleitungsbüro</t>
  </si>
  <si>
    <t>Generalplaner</t>
  </si>
  <si>
    <t>Totalunternehmer</t>
  </si>
  <si>
    <t>Freilegen Mauerwerk unter Terrain</t>
  </si>
  <si>
    <t>Wenig Eingriffe in Struktur</t>
  </si>
  <si>
    <t>energetische Verbesserungen, neue Fenster</t>
  </si>
  <si>
    <t>energetische Verbesserungen, neue Fenster, neuer Fassadenaufbau</t>
  </si>
  <si>
    <t>Instandsetzen der bestehenden Anlage</t>
  </si>
  <si>
    <t>Neue Wärmeerzeugung Oel / Gas</t>
  </si>
  <si>
    <t>Neue Wärmeerzeugung Oel / Gas kombiniert mit alternativer Energiequelle</t>
  </si>
  <si>
    <t>Instandsetzen der bestehenden Verteilung</t>
  </si>
  <si>
    <t>Alle Radiatoren neu</t>
  </si>
  <si>
    <t>Alle Radiatoren und Leitungen neu</t>
  </si>
  <si>
    <t>Tw. Ersatz von Radiatoren</t>
  </si>
  <si>
    <t>Revidieren und Erweitern der bestehenden Anlage</t>
  </si>
  <si>
    <t>Neue Lüftungsanlage ohne WRG</t>
  </si>
  <si>
    <t>Neue Lüftungsanlage mit WRG</t>
  </si>
  <si>
    <t>Neue Sanitäranlage</t>
  </si>
  <si>
    <t>Neue komplexe Sanitäranlage, Brandlöschanlage</t>
  </si>
  <si>
    <t>Revidieren der bestehenden Küchen</t>
  </si>
  <si>
    <t>Revidieren und Erweiterung der bestehenden Küchen</t>
  </si>
  <si>
    <t>Grössere Eingriffe in Struktur, Ersatz konstruktiver Bauteile</t>
  </si>
  <si>
    <t>Keine Eingriffe in Struktur</t>
  </si>
  <si>
    <t>Wenig Eingriffe in Struktur, Teilersatz konstruktiver Bauteile</t>
  </si>
  <si>
    <t>Instandsetzung und tw. neuer Ausbau</t>
  </si>
  <si>
    <t>Neuer Ausbau</t>
  </si>
  <si>
    <t>Neuer, anspruchsvoller Ausbau</t>
  </si>
  <si>
    <t>Neuer, anspruchsvoller Ausbau, div. Sicherheitsmassnahmen</t>
  </si>
  <si>
    <t>Komplexer und anspruchsvoller Ausbau</t>
  </si>
  <si>
    <t>Komplexer und anspruchsvoller Ausbau, div. Sicherheitsmassnahmen</t>
  </si>
  <si>
    <t>Einfacher Ausbau und günstige Oberflächen</t>
  </si>
  <si>
    <t>Gehobener Ausbau</t>
  </si>
  <si>
    <t>Oberflächen aufgefrischt</t>
  </si>
  <si>
    <t>Oberflächen tw. ersetzt</t>
  </si>
  <si>
    <t>Einfache Oberflächen neu</t>
  </si>
  <si>
    <t>Anspruchsvolle Oberflächen neu</t>
  </si>
  <si>
    <t>Komplexe und exklusive Oberflächen</t>
  </si>
  <si>
    <t>Instandsetzung</t>
  </si>
  <si>
    <t>Umbau</t>
  </si>
  <si>
    <t>partielle energetische Verbesserungen, tw. neue Fenster, tw. neuer Fassadenputz</t>
  </si>
  <si>
    <t>energetische Verbesserungen, neue Fenster, neuer Fassaden- und Dachaufbau</t>
  </si>
  <si>
    <t>Eingriffstiefe:</t>
  </si>
  <si>
    <t>Instandsetzung Schutzobjekt</t>
  </si>
  <si>
    <t>Umbau Schutzobjekt</t>
  </si>
  <si>
    <t>Komplexe Konstruktion Massivbau, Flachdach</t>
  </si>
  <si>
    <t>Mehrere Untergeschosse, Rodungen, Aushub, Baugrubensicherung, Hinterfüllungen</t>
  </si>
  <si>
    <t>Hanglage, mehrere Untergeschosse, Rodungen, Aushub, Baugrubensicherung, Hinterfüllungen</t>
  </si>
  <si>
    <t>energetische Verbesserungen, neue 3-fach isol. Fenster, neuer Fassaden- und Dachaufbau, begehbar</t>
  </si>
  <si>
    <t>Teilersatz; Normale Stark- und Schwachstromanlage</t>
  </si>
  <si>
    <t>Teilersatz; Komplexe Stark- und Schwachstromanlage</t>
  </si>
  <si>
    <t>Teeküchen</t>
  </si>
  <si>
    <t>Einfacher Standard</t>
  </si>
  <si>
    <t>Normaler Standard</t>
  </si>
  <si>
    <t>Gehobener Standard</t>
  </si>
  <si>
    <t>Teilersatz der besth. Anlage</t>
  </si>
  <si>
    <t>Einfach, nicht isoliert, kleiner Fensteranteil</t>
  </si>
  <si>
    <t>Einfach, isoliert, Fenster IV, Flachdach</t>
  </si>
  <si>
    <t>Einfach, isoliert, Fenster IV, Steildach</t>
  </si>
  <si>
    <t>Einfach, isoliert, Fenster IV, Flachdach begehbar</t>
  </si>
  <si>
    <t>Komplex, isoliert, Fenster 3-fach Holz/Metall, Flachdach</t>
  </si>
  <si>
    <t>Komplex, isoliert, Fenster 3-fach Holz/Metall, Flachdach begehbar</t>
  </si>
  <si>
    <t>Komplex, isoliert, Fenster 3-fach Holz/Metall, Steildach</t>
  </si>
  <si>
    <t>Komplex, isoliert, aufwändige Fassaden- Fensterkonstruktion, Flachdach begehbar</t>
  </si>
  <si>
    <t>energetische Verbesserungen, neue 3-fach isolierte Fenster, Holz / Metall</t>
  </si>
  <si>
    <t>25 Sanitäranlagen - Solar (Nur Warmwasser)</t>
  </si>
  <si>
    <t>Keins Vorgesehen</t>
  </si>
  <si>
    <t>XXX m2 Solaranlage vorgesehen</t>
  </si>
  <si>
    <t>Eingeschossig Unterkellert, Rodungen, Erschwerte Aushub (Fells), Baugrubensicherung, Hinterfüllungen</t>
  </si>
  <si>
    <t>Mehrere Untergeschosse, Rodungen, Erschwerte Aushub (Fells), Baugrubensicherung, Hinterfüllungen</t>
  </si>
  <si>
    <t>Hanglage, mehrere Untergeschosse, Rodungen, Erschwerte Aushub (Fells), Baugrubensicherung, Hinterfüllungen</t>
  </si>
  <si>
    <t>Grössere Aushubarbeiten, Baugrubensicherungen, anpassungen an Kanalisation</t>
  </si>
  <si>
    <t>Komplexe und grössere Eingriffe in Struktur, Ersatz konstruktiver Bauteile</t>
  </si>
  <si>
    <t>Einfache Personenliftanlage (XXX Stück)</t>
  </si>
  <si>
    <t>Personen- (XXX Stück) und Bettenliftanlage (XXX Stück)</t>
  </si>
  <si>
    <t>Personen- (XXX Stück) und Warenliftanlage (XXX Stück)</t>
  </si>
  <si>
    <t>Personen- (XXX Stück) und Feuerwehrlift (XXX Stück)</t>
  </si>
  <si>
    <t>Neue Personen- (XXX Stück) und Warenliftanlage (xxx Stück)</t>
  </si>
  <si>
    <t>Neue einfache Personenliftanlage (XXX Stück)</t>
  </si>
  <si>
    <t>Neue Personen- (XXX Stück) und Bettenliftanlage (XXX Stück)</t>
  </si>
  <si>
    <t>Neue Personen- (XXX Stück) und Feuerwehrlift (XXX Stück)</t>
  </si>
  <si>
    <t>20Baugrube</t>
  </si>
  <si>
    <t>Eingriffstiefe angeben</t>
  </si>
  <si>
    <t>Vorbereitungsarbeiten (Inkl. Honorare)</t>
  </si>
  <si>
    <t>Provisorien (Inkl. Honorare)</t>
  </si>
  <si>
    <t>Betriebseinrichtung /-ausrüstung (Inkl. Honorare)</t>
  </si>
  <si>
    <t>Umgebung (Inkl. Honorare)</t>
  </si>
  <si>
    <t>Ausstattung / Kunst am Bau (Inkl. Honorare)</t>
  </si>
  <si>
    <t>Vorbereitungsarbeiten (ohne Provisorien) (Inkl. Honorare)</t>
  </si>
  <si>
    <t>Ausstattung (Inkl. Honorare)</t>
  </si>
  <si>
    <t>Honorare (Nur für BKP 2)</t>
  </si>
  <si>
    <t>29 Honorare (Nur für BKP 2)</t>
  </si>
  <si>
    <r>
      <t xml:space="preserve">Vorbereitungsarbeiten </t>
    </r>
    <r>
      <rPr>
        <b/>
        <sz val="9"/>
        <rFont val="Arial"/>
        <family val="2"/>
      </rPr>
      <t>ohne</t>
    </r>
    <r>
      <rPr>
        <sz val="9"/>
        <rFont val="Arial"/>
        <family val="2"/>
      </rPr>
      <t xml:space="preserve"> Provisorien (Inkl. Honorare)</t>
    </r>
  </si>
  <si>
    <t>Betriebseinrichtung /-ausrüstung (inkl. Hon)</t>
  </si>
  <si>
    <t>Kostenstand: bei Abrechnung nach 50% Bauzeit</t>
  </si>
  <si>
    <t>Kredit (inkl. Kreditreserve +10% oder +15%)</t>
  </si>
  <si>
    <t>FDA/GF</t>
  </si>
  <si>
    <t>FDA-U/GF</t>
  </si>
  <si>
    <t>Gemäss eBKP-H</t>
  </si>
  <si>
    <t>FDA</t>
  </si>
  <si>
    <t>FDA-U</t>
  </si>
  <si>
    <t>FDA-UE</t>
  </si>
  <si>
    <t>FDA-UE/GF</t>
  </si>
  <si>
    <t>Fläche Dachhaut (unter Terain)</t>
  </si>
  <si>
    <t>Fläche Dachhaut (über Terain)</t>
  </si>
  <si>
    <t>Installierte Heizleistung (Heizung und WW ohne Solar)</t>
  </si>
  <si>
    <t>D8: Anzahl Anschlusspunkte Wasser</t>
  </si>
  <si>
    <t>F1: Fläche Dachhaut (unter Terrain)</t>
  </si>
  <si>
    <t>F1: Fläche Dachhaut (über Terrain)</t>
  </si>
  <si>
    <t>243/248 Wärmeverteilung (inkl. Dämmung)</t>
  </si>
  <si>
    <t>Medizinische Apparate und Einrichtungen</t>
  </si>
  <si>
    <t>Medizinische Apparate und Einrichtungen (Inkl. Honorare)</t>
  </si>
  <si>
    <t>Weitere Information:</t>
  </si>
  <si>
    <t>Kostenänderungen von letzen Phase (Text)</t>
  </si>
  <si>
    <t>FE 1</t>
  </si>
  <si>
    <t>FE 2</t>
  </si>
  <si>
    <r>
      <t>Q</t>
    </r>
    <r>
      <rPr>
        <vertAlign val="subscript"/>
        <sz val="9"/>
        <rFont val="Arial"/>
        <family val="2"/>
      </rPr>
      <t>WW</t>
    </r>
    <r>
      <rPr>
        <sz val="9"/>
        <rFont val="Arial"/>
        <family val="2"/>
      </rPr>
      <t>/HNF</t>
    </r>
  </si>
  <si>
    <t>GF/FE 1</t>
  </si>
  <si>
    <t xml:space="preserve">FE 1   </t>
  </si>
  <si>
    <t>GES: Alterszentrum</t>
  </si>
  <si>
    <t>SOZ: Gemeinschafts-/Quartierzentrum/Jugentreff</t>
  </si>
  <si>
    <t>VER: Verwaltungs-/Kreisgebäude</t>
  </si>
  <si>
    <t>SCH: Schulanlage</t>
  </si>
  <si>
    <t>SPO: Hallenbad</t>
  </si>
  <si>
    <t>SPO: Freibad</t>
  </si>
  <si>
    <t>GEW: Kioskanlage</t>
  </si>
  <si>
    <t>GEW: ZüriWC</t>
  </si>
  <si>
    <t>GEW: Parkhaus / Garage</t>
  </si>
  <si>
    <t>KUL: Museum</t>
  </si>
  <si>
    <t>SPO: Sportanlage / Stadion</t>
  </si>
  <si>
    <t>VER: Amtshaus</t>
  </si>
  <si>
    <t>DROPDOWN - Hier Verlinkt</t>
  </si>
  <si>
    <t>Gesamtinstandsetzung</t>
  </si>
  <si>
    <t>Gesamtinstandsetzung mit Anbau/Aufbau</t>
  </si>
  <si>
    <t>Tiefgarage als Tielobjekt</t>
  </si>
  <si>
    <t>Mehr als Minegie A</t>
  </si>
  <si>
    <t>Zielkosten</t>
  </si>
  <si>
    <t>Zielkosten beim Phasenende (Angepasst für die nächste Phase)</t>
  </si>
  <si>
    <t>Einhaltung Zielkosten (Erstellungskosten minus Zielkosten)</t>
  </si>
  <si>
    <t>Erweiterung (Anbau/Aufbau ohne Instandhaltung/Instandsetzung)</t>
  </si>
  <si>
    <t>Erweiterung (Anbau/Aufbau mit Instandhaltung)</t>
  </si>
  <si>
    <t>Gemäss e-BKP-H</t>
  </si>
  <si>
    <t>Zielkosten PHB (bevor Ausschusssitzung am Phasenende)</t>
  </si>
  <si>
    <t>WOH: Einfamilienhaus</t>
  </si>
  <si>
    <t>WOH: Mehrfamilienhaus</t>
  </si>
  <si>
    <t>Minergie A Standard (mit kontrollierter Lüftung)</t>
  </si>
  <si>
    <t>Minergie P Standard (mit kontrollierter Lüftung)</t>
  </si>
  <si>
    <t>Minergie A Standard (ohne kontrollierte Lüftung)</t>
  </si>
  <si>
    <t>Minergie P Standard (ohne kontrollierte Lüftung)</t>
  </si>
  <si>
    <t>Minergie Standard (mit kontrollierter Lüftung)</t>
  </si>
  <si>
    <t>Minergie Standard (ohne kontrollierte Lüftung)</t>
  </si>
  <si>
    <t>Teilinstandhaltung</t>
  </si>
  <si>
    <t>Gesamtinstandsetzung mit Erweiterung beheizte Fläche (Keller/Dachausbau etc)</t>
  </si>
  <si>
    <t>Gesetzeskonform (Neubaugesetz)</t>
  </si>
  <si>
    <t>Minimale Massnahme (bestehendes Gebäude)</t>
  </si>
  <si>
    <t>Keine Massnahme (bestehendes Gebäude)</t>
  </si>
  <si>
    <t>GES: Alterswohnungen- und Siedlung</t>
  </si>
  <si>
    <t>SCH: ZM-Pavillon</t>
  </si>
  <si>
    <t>VER: Polizeiwesen- und Wache</t>
  </si>
  <si>
    <t>SOZ: Sonstiges</t>
  </si>
  <si>
    <t>KUL: Kultur / Sonstiges</t>
  </si>
  <si>
    <t>Anzahl Parkplätze in einer Tiefgarage/Garage</t>
  </si>
  <si>
    <t>Kostenänderungen zur letzen Phase:</t>
  </si>
  <si>
    <t>Drucken</t>
  </si>
  <si>
    <t>Eingabe</t>
  </si>
  <si>
    <t>Eingabe-Beschrieb</t>
  </si>
  <si>
    <t>Kostenentwicklung</t>
  </si>
  <si>
    <t>Benchmarkvergleich</t>
  </si>
  <si>
    <t>Baukostenkennwerte</t>
  </si>
  <si>
    <t>Baukostenkennwerte mit Teur.</t>
  </si>
  <si>
    <t>Index</t>
  </si>
  <si>
    <t>Drop Down Menü</t>
  </si>
  <si>
    <t>*END*</t>
  </si>
  <si>
    <t>Tabellen</t>
  </si>
  <si>
    <t>FE 3</t>
  </si>
  <si>
    <t>FE 4</t>
  </si>
  <si>
    <t xml:space="preserve">Erstellungkosten (BKP 1-9) Tiefgarage (Schätzung) </t>
  </si>
  <si>
    <t xml:space="preserve">Erstellungkosten (BKP 1-9) für FE 2 (Schätzung) </t>
  </si>
  <si>
    <t xml:space="preserve">Erstellungkosten (BKP 1-9) für FE 3 (Schätzung) </t>
  </si>
  <si>
    <t xml:space="preserve">Erstellungkosten (BKP 1-9) für FE 4 (Schätzung) </t>
  </si>
  <si>
    <t>Tiefgarage: GF</t>
  </si>
  <si>
    <t>Erschliessungskosten/Altlast (Boden, ohne Landkosten) + Provisorien</t>
  </si>
  <si>
    <t xml:space="preserve">Erstellungkosten (BKP 1-9) für FE 1 (Schätzung) </t>
  </si>
  <si>
    <t>Einheiten und Mengen:</t>
  </si>
  <si>
    <t>Kennzahlen: Erstellungskosten des gesamten Projekts minus der Tiefgarage:</t>
  </si>
  <si>
    <t>BKP 1-9 (Ohne TG) / FE 1</t>
  </si>
  <si>
    <t>BKP 1-9 (Ohne TG) / HNF</t>
  </si>
  <si>
    <t>BKP 1-9 (Ohne TG) / GF (Ohne TG)</t>
  </si>
  <si>
    <t>BKP 1-9 von FE1 / FE 1</t>
  </si>
  <si>
    <t>CHF/m2</t>
  </si>
  <si>
    <t>BKP 1-9 von TG / GF von TG</t>
  </si>
  <si>
    <t>BKP 1-9 von TG / Anzahl Parkplatz im Tiefgarage</t>
  </si>
  <si>
    <t>CHF/PP</t>
  </si>
  <si>
    <t>Für Graphik</t>
  </si>
  <si>
    <t>Grobschätzung der Baukosten</t>
  </si>
  <si>
    <t>Kostenschätzung</t>
  </si>
  <si>
    <t>Kostenvoranschlag</t>
  </si>
  <si>
    <t>Schlussabrechnung</t>
  </si>
  <si>
    <t>Zielkosten (BKP 0-9)</t>
  </si>
  <si>
    <t>Erstellungskosten inkl. Eschliessungskosten (inkl. MwSt) (BKP 0-9)</t>
  </si>
  <si>
    <t>Bandbreite Minim</t>
  </si>
  <si>
    <t>Bandbreite Maximal</t>
  </si>
  <si>
    <t>Standard Begrundung</t>
  </si>
  <si>
    <t>Franken CHF</t>
  </si>
  <si>
    <t>Nicht Begrundet</t>
  </si>
  <si>
    <t>FE 2 + 3 + 4</t>
  </si>
  <si>
    <t xml:space="preserve">Erstellungkosten (BKP 1-9) für FE 2 + 3 + 4 (Schätzung) </t>
  </si>
  <si>
    <t>Erstellungskosten des gesamten Projekts</t>
  </si>
  <si>
    <t xml:space="preserve"> Erstellungskosten des gesamten Projekts minus der Tiefgarage:</t>
  </si>
  <si>
    <t>Kennzahlen für die eizelnen Bereiche (FE 1, FE 2-4 und Tiefgarage)</t>
  </si>
  <si>
    <t>BKP 1-9 von FE2/3/4 /m2 NGF von FE2/3/4</t>
  </si>
  <si>
    <t>FE 2-4</t>
  </si>
  <si>
    <t>Funktionale Einheiten (Sekundärnutzung)</t>
  </si>
  <si>
    <t>Kosten (ausgewertet)</t>
  </si>
  <si>
    <t>Teilobjekte (Schätzung)</t>
  </si>
  <si>
    <t>m2 GF</t>
  </si>
  <si>
    <t>m2 NGF</t>
  </si>
  <si>
    <t>CHF/GF</t>
  </si>
  <si>
    <t>CHF/FE 1</t>
  </si>
  <si>
    <t>CHF/NGF</t>
  </si>
  <si>
    <t>Erstellungkosten (BKP 1-9) exklusiv Tiefgarage</t>
  </si>
  <si>
    <t>Erstellungkosten (BKP 1-9) Tiefgarage</t>
  </si>
  <si>
    <t>Berechnung Phasen für BKP 1-9 von FE2/3/4 /m2 NGF von FE2/3/4</t>
  </si>
  <si>
    <t>Vorprojekt GSK</t>
  </si>
  <si>
    <t>Baupro. KV</t>
  </si>
  <si>
    <t>Bauabrechn</t>
  </si>
  <si>
    <t xml:space="preserve">HNF 1: Wohnen und Aufenthalt </t>
  </si>
  <si>
    <t xml:space="preserve">HNF 2: Büroarbeit </t>
  </si>
  <si>
    <t xml:space="preserve">HNF 4: Lagern, verteilen und verkaufen </t>
  </si>
  <si>
    <t>HNF 5: Bildung, Unterricht &amp; Kultur</t>
  </si>
  <si>
    <t>HNF 6: Heilen und Pflegen</t>
  </si>
  <si>
    <t>HNF 3: Produktion, Hand &amp; Maschinen.</t>
  </si>
  <si>
    <t>Standardbegundung für Kostenentwicklung (Ab Auftragvereinbarung)</t>
  </si>
  <si>
    <t>KE-Graphik</t>
  </si>
  <si>
    <t>Prozent</t>
  </si>
  <si>
    <t>Total</t>
  </si>
  <si>
    <t xml:space="preserve">Lagern, Verteilen &amp; Verkaufen </t>
  </si>
  <si>
    <t xml:space="preserve">Heilen &amp; Pflegen </t>
  </si>
  <si>
    <t>C1: Fläche Bodenplatte, Fundament</t>
  </si>
  <si>
    <t>D7: Volumen pro Stunde zur Lufttechnischen Anlage</t>
  </si>
  <si>
    <t>Allgemeiner Projekt-Beschrieb</t>
  </si>
  <si>
    <t>Erstellungskosten inkl. Erschliessungskosten (inkl. MwSt)</t>
  </si>
  <si>
    <t>Nicht Begründet</t>
  </si>
  <si>
    <t>Projekt-Nummer:</t>
  </si>
  <si>
    <t>Projekt-Bezeichnung:</t>
  </si>
  <si>
    <t>Volumen pro Stunden (Lufttech. Anlage)</t>
  </si>
  <si>
    <t>KGS</t>
  </si>
  <si>
    <t>Kostengrobschätzung</t>
  </si>
  <si>
    <t>Schluss-</t>
  </si>
  <si>
    <t>Funktionale Einheiten 1 (Hauptnutzung): Anzahl</t>
  </si>
  <si>
    <t>Plätze (Betten)</t>
  </si>
  <si>
    <t>Arbeitsplätze</t>
  </si>
  <si>
    <t>Wohnungen</t>
  </si>
  <si>
    <t>Zielkosten gemäss PHB (bei der Schlussabrechnung mit aufgelaufener Teuerung)</t>
  </si>
  <si>
    <t>Zielkosten gemäss PHB (Schlussabrechnung mit aufgelaufener Teuerung)</t>
  </si>
  <si>
    <t>Änderungen Raumprogramm und Betriebskonzept</t>
  </si>
  <si>
    <t>Flächen- und Volumeneffizienz</t>
  </si>
  <si>
    <t xml:space="preserve">Änderungen Standards und Vorschriften                                                                    </t>
  </si>
  <si>
    <t>Änderungen Bauqualität</t>
  </si>
  <si>
    <t>Risikobewirtschaftung</t>
  </si>
  <si>
    <t>Änderungen Eingriffstiefe</t>
  </si>
  <si>
    <t>Kalkulationsfehler</t>
  </si>
  <si>
    <t>Bereinigung Auftragsvereinbarung</t>
  </si>
  <si>
    <t xml:space="preserve">Änderungen Standards und Vorschriften              </t>
  </si>
  <si>
    <t>1: Bereinigung Auftragsvereinbarung</t>
  </si>
  <si>
    <t>2: Änderungen Raumprogramm und Betriebskonzept</t>
  </si>
  <si>
    <t>3: Flächen- und Volumeneffizienz</t>
  </si>
  <si>
    <t>Nicht gebraucht</t>
  </si>
  <si>
    <t>9: Teuerung der letzen Phase</t>
  </si>
  <si>
    <t xml:space="preserve">4: Änderungen Standards und Vorschriften              </t>
  </si>
  <si>
    <t>5: Änderungen Bauqualität</t>
  </si>
  <si>
    <t>6: Risikobewirtschaftung</t>
  </si>
  <si>
    <t>7: Änderungen Eingriffstiefe</t>
  </si>
  <si>
    <t>8: Kalkulationsfehler</t>
  </si>
  <si>
    <t>4: Änderungen Standards und Vorschriften</t>
  </si>
  <si>
    <t>GES: Spital</t>
  </si>
  <si>
    <t>Neubau und Gesammtinstandsetzung</t>
  </si>
  <si>
    <t>CHF/m² NGF</t>
  </si>
  <si>
    <t>CHF/m² GF</t>
  </si>
  <si>
    <t>FE 2 + 3 + 4: BKP 1-9</t>
  </si>
  <si>
    <t>CHF/m² HNF</t>
  </si>
  <si>
    <t>CHF/m² GV</t>
  </si>
  <si>
    <t xml:space="preserve">FE 2, 3 und 4   </t>
  </si>
  <si>
    <t>Anzahl</t>
  </si>
  <si>
    <t xml:space="preserve">BKP 2   </t>
  </si>
  <si>
    <t>Klasseneinheiten (gewichtet): ? KG x 0.8 + ? PK x 1 + ? OSK x 1.3 = ? Klasseneinheiten</t>
  </si>
  <si>
    <t>Funktionale Einheiten 2 (Zusatznutzungen): NGF</t>
  </si>
  <si>
    <t>Funktionale Einheiten 3 (Quartiernutzungen): NGF</t>
  </si>
  <si>
    <t>Funktionale Einheiten 4 (Diverses): NGF</t>
  </si>
  <si>
    <t>Zusatznutzung: Betreuung</t>
  </si>
  <si>
    <t>Zusatznutzung: Gewerbeflächen</t>
  </si>
  <si>
    <t>Zusatznutzung: Gewerbeflächen &amp; Spitex</t>
  </si>
  <si>
    <t>Zusatznutzung: Spitex</t>
  </si>
  <si>
    <t>Zusatznutzung: Gewerbeflächen, Bastelräume, Musikräume, Schaltzimmern</t>
  </si>
  <si>
    <t>Quartiernutzung: Öffentliche Bibliotheken, Sporträume (Sportamt) z.B. grössere Turnhallen</t>
  </si>
  <si>
    <t>Quartiernutzung: Öffentliche Bibliotheken</t>
  </si>
  <si>
    <t>Quartiernutzung: Sporträume (Sportamt) z.B. grössere Turnhallen</t>
  </si>
  <si>
    <t>Quartiernutzung: Sporträume (Sportamt) z.B. grössere Turnhalle (Galerie, Tribüne)</t>
  </si>
  <si>
    <t>Quartiernutzung: Sporträume (Sportamt) z.B. grössere Turnhalle (Galerie, Tribüne, Krafttraining, Gym)</t>
  </si>
  <si>
    <t>Quartiernutzung: Kindergarten, Kindertagesstätte, Horte</t>
  </si>
  <si>
    <t>Funktionale Einheiten 1 (Hauptnutzung)</t>
  </si>
  <si>
    <t>Nutzungsänderung</t>
  </si>
  <si>
    <t>x</t>
  </si>
  <si>
    <t>Strategie Diverses</t>
  </si>
  <si>
    <t xml:space="preserve">BKP 1–9   </t>
  </si>
  <si>
    <t>FE 1: BKP 1–9</t>
  </si>
  <si>
    <t>FE 2 + 3 + 4: BKP 1–9</t>
  </si>
  <si>
    <t>Tiefgarage: BKP 1–9</t>
  </si>
  <si>
    <t>Kennzahlen für die eizelnen Bereiche (FE 1, FE 2–4 und Tiefgarage)</t>
  </si>
  <si>
    <r>
      <t>m</t>
    </r>
    <r>
      <rPr>
        <vertAlign val="superscript"/>
        <sz val="8"/>
        <rFont val="Arial"/>
        <family val="2"/>
      </rPr>
      <t>2</t>
    </r>
    <r>
      <rPr>
        <sz val="8"/>
        <rFont val="Arial"/>
        <family val="2"/>
      </rPr>
      <t xml:space="preserve"> NGF</t>
    </r>
  </si>
  <si>
    <r>
      <t>m</t>
    </r>
    <r>
      <rPr>
        <vertAlign val="superscript"/>
        <sz val="8"/>
        <rFont val="Arial"/>
        <family val="2"/>
      </rPr>
      <t>2</t>
    </r>
  </si>
  <si>
    <r>
      <t>m</t>
    </r>
    <r>
      <rPr>
        <vertAlign val="superscript"/>
        <sz val="8"/>
        <rFont val="Arial"/>
        <family val="2"/>
      </rPr>
      <t>3</t>
    </r>
  </si>
  <si>
    <t xml:space="preserve">Kennwertvergleich von Erstellungskosten (BKP 1–9) ohne Provisorium </t>
  </si>
  <si>
    <t>BKP 1–9</t>
  </si>
  <si>
    <t>BKP 0–9</t>
  </si>
  <si>
    <t>Baukostenkennwerte: Benchmarkvergleich</t>
  </si>
  <si>
    <t>Auftragsart:</t>
  </si>
  <si>
    <t>Index-Jahr:</t>
  </si>
  <si>
    <t xml:space="preserve">Erstellungkosten (BKP 1–9) für FE 4 (Schätzung) </t>
  </si>
  <si>
    <t xml:space="preserve">Erstellungkosten (BKP 1–9) Tiefgarage (Schätzung) </t>
  </si>
  <si>
    <t xml:space="preserve">Kennwertvergleich von Erstellungskosten (BKP 1–9) exklusiv Provisorium </t>
  </si>
  <si>
    <t>Kennzahlen für die einzelne Bereiche (FE 1–4 und Tiefgarage)</t>
  </si>
  <si>
    <t xml:space="preserve"> Kosten FE 1: BKP 1–9</t>
  </si>
  <si>
    <t>Kosten FE 2: BKP 1–9</t>
  </si>
  <si>
    <t>Kosten FE 3: BKP 1–9</t>
  </si>
  <si>
    <t>Kosten FE 4: BKP 1–9</t>
  </si>
  <si>
    <t>Kosten Tiefgarage: BKP 1–9</t>
  </si>
  <si>
    <t>Zielkosten (BKP 0–9)</t>
  </si>
  <si>
    <t>Erstellungskosten inkl. Eschliessungskosten (inkl. MwSt) (BKP 0–9)</t>
  </si>
  <si>
    <t xml:space="preserve">Erstellungkosten (BKP 1–9) für FE 1 (Schätzung) </t>
  </si>
  <si>
    <t xml:space="preserve">Erstellungkosten (BKP 1–9) für FE 2 (Schätzung) </t>
  </si>
  <si>
    <t xml:space="preserve">Erstellungkosten (BKP 1–9) für FE 3 (Schätzung) </t>
  </si>
  <si>
    <t>Kennzahlen: Erstellungskosten des gesamten Projekts (ohne Provisorium und Altlast)</t>
  </si>
  <si>
    <t>Baukostenkennwerte: Kostenentwicklung, Kennwertvergleich</t>
  </si>
  <si>
    <t xml:space="preserve"> 1 :</t>
  </si>
  <si>
    <t xml:space="preserve"> 2 :</t>
  </si>
  <si>
    <t xml:space="preserve"> 3 :</t>
  </si>
  <si>
    <t xml:space="preserve"> 4 :</t>
  </si>
  <si>
    <t xml:space="preserve"> 5 :</t>
  </si>
  <si>
    <t xml:space="preserve"> 6 :</t>
  </si>
  <si>
    <t xml:space="preserve"> 7 :</t>
  </si>
  <si>
    <t xml:space="preserve"> 8 :</t>
  </si>
  <si>
    <t xml:space="preserve"> 9 :</t>
  </si>
  <si>
    <t>CHF/m³ GV</t>
  </si>
  <si>
    <t>Funktionale Einheiten (Benchmarks für 17/0)</t>
  </si>
  <si>
    <t>Funktionale Einheiten 3 (Quartiernutzungen):</t>
  </si>
  <si>
    <t>NGF</t>
  </si>
  <si>
    <t>Funktionale Einheiten 2 (Zusatznutzungen):</t>
  </si>
  <si>
    <t xml:space="preserve">Funktionale Einheiten 4 (Diverses): </t>
  </si>
  <si>
    <t>Flächen bei Mietobjekten (Stadt Zürich als Mieter)</t>
  </si>
  <si>
    <t>Mietflächen</t>
  </si>
  <si>
    <t>MF</t>
  </si>
  <si>
    <t>Mieteausbau</t>
  </si>
  <si>
    <t>Kreditreserve (+15% / + 20%)</t>
  </si>
  <si>
    <t>Kredit (inkl. Kreditreserve +15% oder +20%)</t>
  </si>
  <si>
    <t>Index Jahr 2021</t>
  </si>
  <si>
    <t>Index Jahr 2022</t>
  </si>
  <si>
    <t>Index (1998)</t>
  </si>
  <si>
    <t>Vorlage 11 (09.08.2022)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</si>
</sst>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
    <numFmt numFmtId="167" formatCode="d/m/yy;@"/>
    <numFmt numFmtId="168" formatCode="#,##0_ ;[Red]\-#,##0\ "/>
    <numFmt numFmtId="169" formatCode="dd/mm/yy;@"/>
    <numFmt numFmtId="170" formatCode="0%\ &quot;FEN&quot;"/>
    <numFmt numFmtId="171" formatCode="_ * #,##0_ ;_ * \-#,##0_ ;_ * &quot;-&quot;??_ ;_ @_ "/>
    <numFmt numFmtId="172" formatCode="#\ ###\ ##0.0;\–\ #\ ###\ ##0.0;0.0;\–"/>
  </numFmts>
  <fonts count="44" x14ac:knownFonts="1">
    <font>
      <sz val="10"/>
      <name val="Arial"/>
    </font>
    <font>
      <sz val="10"/>
      <name val="Arial"/>
      <family val="2"/>
    </font>
    <font>
      <sz val="9"/>
      <name val="Arial"/>
      <family val="2"/>
    </font>
    <font>
      <b/>
      <sz val="9"/>
      <name val="Arial"/>
      <family val="2"/>
    </font>
    <font>
      <sz val="9"/>
      <color indexed="12"/>
      <name val="Arial"/>
      <family val="2"/>
    </font>
    <font>
      <sz val="9"/>
      <name val="Arial"/>
      <family val="2"/>
    </font>
    <font>
      <sz val="12"/>
      <name val="Arial"/>
      <family val="2"/>
    </font>
    <font>
      <sz val="7"/>
      <name val="Arial"/>
      <family val="2"/>
    </font>
    <font>
      <sz val="10"/>
      <name val="Arial"/>
      <family val="2"/>
    </font>
    <font>
      <vertAlign val="subscript"/>
      <sz val="9"/>
      <name val="Arial"/>
      <family val="2"/>
    </font>
    <font>
      <sz val="8"/>
      <name val="Arial"/>
      <family val="2"/>
    </font>
    <font>
      <sz val="9"/>
      <color indexed="8"/>
      <name val="Arial"/>
      <family val="2"/>
    </font>
    <font>
      <sz val="8"/>
      <name val="Arial"/>
      <family val="2"/>
    </font>
    <font>
      <sz val="9"/>
      <color indexed="81"/>
      <name val="Tahoma"/>
      <family val="2"/>
    </font>
    <font>
      <b/>
      <sz val="9"/>
      <color indexed="81"/>
      <name val="Tahoma"/>
      <family val="2"/>
    </font>
    <font>
      <sz val="10"/>
      <name val="Arial"/>
      <family val="2"/>
    </font>
    <font>
      <sz val="6"/>
      <name val="Arial"/>
      <family val="2"/>
    </font>
    <font>
      <sz val="11"/>
      <name val="Arial"/>
      <family val="2"/>
    </font>
    <font>
      <b/>
      <u/>
      <sz val="10"/>
      <name val="Arial"/>
      <family val="2"/>
    </font>
    <font>
      <b/>
      <sz val="9"/>
      <color indexed="12"/>
      <name val="Arial"/>
      <family val="2"/>
    </font>
    <font>
      <b/>
      <sz val="10"/>
      <name val="Arial"/>
      <family val="2"/>
    </font>
    <font>
      <sz val="11"/>
      <color indexed="8"/>
      <name val="Arial"/>
      <family val="2"/>
    </font>
    <font>
      <sz val="11"/>
      <color theme="1"/>
      <name val="Calibri"/>
      <family val="2"/>
      <scheme val="minor"/>
    </font>
    <font>
      <sz val="9"/>
      <color theme="1"/>
      <name val="Arial"/>
      <family val="2"/>
    </font>
    <font>
      <sz val="9"/>
      <color rgb="FFFF0000"/>
      <name val="Arial"/>
      <family val="2"/>
    </font>
    <font>
      <sz val="9"/>
      <color theme="0"/>
      <name val="Arial"/>
      <family val="2"/>
    </font>
    <font>
      <b/>
      <sz val="9"/>
      <color rgb="FFFF0000"/>
      <name val="Arial"/>
      <family val="2"/>
    </font>
    <font>
      <sz val="9"/>
      <color theme="0" tint="-0.14999847407452621"/>
      <name val="Arial"/>
      <family val="2"/>
    </font>
    <font>
      <sz val="9"/>
      <color rgb="FF0000FF"/>
      <name val="Arial"/>
      <family val="2"/>
    </font>
    <font>
      <sz val="11"/>
      <color theme="1"/>
      <name val="Arial"/>
      <family val="2"/>
    </font>
    <font>
      <b/>
      <sz val="11"/>
      <color theme="1"/>
      <name val="Arial"/>
      <family val="2"/>
    </font>
    <font>
      <sz val="14"/>
      <color theme="1"/>
      <name val="Arial"/>
      <family val="2"/>
    </font>
    <font>
      <sz val="16"/>
      <color theme="1"/>
      <name val="Arial"/>
      <family val="2"/>
    </font>
    <font>
      <sz val="10"/>
      <color rgb="FFFF0000"/>
      <name val="Arial"/>
      <family val="2"/>
    </font>
    <font>
      <i/>
      <sz val="8"/>
      <color theme="0" tint="-0.499984740745262"/>
      <name val="Arial"/>
      <family val="2"/>
    </font>
    <font>
      <b/>
      <sz val="9"/>
      <color theme="1"/>
      <name val="Arial"/>
      <family val="2"/>
    </font>
    <font>
      <sz val="10"/>
      <color rgb="FF0000FF"/>
      <name val="Arial"/>
      <family val="2"/>
    </font>
    <font>
      <sz val="9"/>
      <color indexed="81"/>
      <name val="Segoe UI"/>
      <family val="2"/>
    </font>
    <font>
      <b/>
      <sz val="9"/>
      <color indexed="81"/>
      <name val="Segoe UI"/>
      <family val="2"/>
    </font>
    <font>
      <u/>
      <sz val="9"/>
      <color indexed="81"/>
      <name val="Segoe UI"/>
      <family val="2"/>
    </font>
    <font>
      <vertAlign val="superscript"/>
      <sz val="8"/>
      <name val="Arial"/>
      <family val="2"/>
    </font>
    <font>
      <sz val="9"/>
      <color rgb="FFF1F3F1"/>
      <name val="Arial"/>
      <family val="2"/>
    </font>
    <font>
      <sz val="7"/>
      <color rgb="FFF1F3F1"/>
      <name val="Arial"/>
      <family val="2"/>
    </font>
    <font>
      <sz val="8"/>
      <color rgb="FF000000"/>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1F3F1"/>
        <bgColor indexed="64"/>
      </patternFill>
    </fill>
    <fill>
      <patternFill patternType="solid">
        <fgColor theme="0" tint="-4.9989318521683403E-2"/>
        <bgColor indexed="64"/>
      </patternFill>
    </fill>
    <fill>
      <patternFill patternType="solid">
        <fgColor rgb="FFFFFFCC"/>
        <bgColor indexed="64"/>
      </patternFill>
    </fill>
  </fills>
  <borders count="1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bottom style="hair">
        <color indexed="64"/>
      </bottom>
      <diagonal/>
    </border>
    <border>
      <left/>
      <right style="thin">
        <color indexed="64"/>
      </right>
      <top/>
      <bottom/>
      <diagonal/>
    </border>
    <border>
      <left style="hair">
        <color indexed="64"/>
      </left>
      <right/>
      <top/>
      <bottom/>
      <diagonal/>
    </border>
    <border>
      <left style="thin">
        <color indexed="64"/>
      </left>
      <right/>
      <top style="thin">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right style="medium">
        <color indexed="64"/>
      </right>
      <top style="hair">
        <color indexed="64"/>
      </top>
      <bottom style="hair">
        <color indexed="64"/>
      </bottom>
      <diagonal/>
    </border>
    <border>
      <left/>
      <right style="thin">
        <color indexed="64"/>
      </right>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theme="1"/>
      </top>
      <bottom/>
      <diagonal/>
    </border>
    <border>
      <left/>
      <right/>
      <top style="thin">
        <color theme="1"/>
      </top>
      <bottom style="hair">
        <color indexed="64"/>
      </bottom>
      <diagonal/>
    </border>
    <border>
      <left/>
      <right/>
      <top/>
      <bottom style="thin">
        <color theme="1"/>
      </bottom>
      <diagonal/>
    </border>
    <border>
      <left/>
      <right/>
      <top style="thin">
        <color theme="1"/>
      </top>
      <bottom style="thin">
        <color theme="1"/>
      </bottom>
      <diagonal/>
    </border>
    <border>
      <left/>
      <right/>
      <top style="thin">
        <color theme="1"/>
      </top>
      <bottom style="medium">
        <color theme="1"/>
      </bottom>
      <diagonal/>
    </border>
    <border>
      <left/>
      <right/>
      <top style="medium">
        <color theme="1"/>
      </top>
      <bottom/>
      <diagonal/>
    </border>
    <border>
      <left/>
      <right/>
      <top style="medium">
        <color theme="1"/>
      </top>
      <bottom style="thin">
        <color theme="1"/>
      </bottom>
      <diagonal/>
    </border>
    <border>
      <left/>
      <right/>
      <top/>
      <bottom style="medium">
        <color theme="1"/>
      </bottom>
      <diagonal/>
    </border>
    <border>
      <left/>
      <right style="hair">
        <color indexed="64"/>
      </right>
      <top/>
      <bottom style="medium">
        <color theme="1"/>
      </bottom>
      <diagonal/>
    </border>
    <border>
      <left style="hair">
        <color indexed="64"/>
      </left>
      <right/>
      <top/>
      <bottom style="medium">
        <color theme="1"/>
      </bottom>
      <diagonal/>
    </border>
    <border>
      <left/>
      <right/>
      <top style="medium">
        <color indexed="64"/>
      </top>
      <bottom style="thin">
        <color theme="1"/>
      </bottom>
      <diagonal/>
    </border>
    <border>
      <left/>
      <right style="thin">
        <color theme="1"/>
      </right>
      <top style="medium">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bottom style="medium">
        <color indexed="64"/>
      </bottom>
      <diagonal/>
    </border>
    <border>
      <left/>
      <right style="thin">
        <color theme="1"/>
      </right>
      <top style="medium">
        <color indexed="64"/>
      </top>
      <bottom style="thin">
        <color theme="1"/>
      </bottom>
      <diagonal/>
    </border>
    <border>
      <left/>
      <right style="thin">
        <color theme="1"/>
      </right>
      <top style="thin">
        <color theme="1"/>
      </top>
      <bottom style="medium">
        <color theme="1"/>
      </bottom>
      <diagonal/>
    </border>
    <border>
      <left/>
      <right/>
      <top/>
      <bottom style="thick">
        <color theme="1"/>
      </bottom>
      <diagonal/>
    </border>
    <border>
      <left/>
      <right/>
      <top style="thin">
        <color theme="1"/>
      </top>
      <bottom style="thick">
        <color theme="1"/>
      </bottom>
      <diagonal/>
    </border>
  </borders>
  <cellStyleXfs count="5">
    <xf numFmtId="0" fontId="0" fillId="0" borderId="0"/>
    <xf numFmtId="164" fontId="15" fillId="0" borderId="0" applyFont="0" applyFill="0" applyBorder="0" applyAlignment="0" applyProtection="0"/>
    <xf numFmtId="9" fontId="1" fillId="0" borderId="0" applyFont="0" applyFill="0" applyBorder="0" applyAlignment="0" applyProtection="0"/>
    <xf numFmtId="0" fontId="1" fillId="0" borderId="0"/>
    <xf numFmtId="0" fontId="22" fillId="0" borderId="0"/>
  </cellStyleXfs>
  <cellXfs count="1210">
    <xf numFmtId="0" fontId="0" fillId="0" borderId="0" xfId="0"/>
    <xf numFmtId="0" fontId="2" fillId="0" borderId="0" xfId="0" applyNumberFormat="1" applyFont="1" applyAlignment="1" applyProtection="1">
      <alignment horizontal="left" vertical="top"/>
    </xf>
    <xf numFmtId="0" fontId="2" fillId="0" borderId="0" xfId="0" applyNumberFormat="1" applyFont="1" applyAlignment="1" applyProtection="1"/>
    <xf numFmtId="0" fontId="3" fillId="0" borderId="0" xfId="0" applyNumberFormat="1" applyFont="1" applyAlignment="1" applyProtection="1"/>
    <xf numFmtId="0" fontId="2" fillId="0" borderId="1" xfId="0" applyNumberFormat="1" applyFont="1" applyBorder="1" applyAlignment="1" applyProtection="1"/>
    <xf numFmtId="0" fontId="2" fillId="2" borderId="2" xfId="0" applyNumberFormat="1" applyFont="1" applyFill="1" applyBorder="1" applyAlignment="1" applyProtection="1"/>
    <xf numFmtId="0" fontId="2" fillId="2" borderId="1" xfId="0" applyFont="1" applyFill="1" applyBorder="1" applyProtection="1"/>
    <xf numFmtId="0" fontId="2" fillId="2" borderId="1" xfId="0" quotePrefix="1" applyFont="1" applyFill="1" applyBorder="1" applyAlignment="1" applyProtection="1">
      <alignment horizontal="left"/>
    </xf>
    <xf numFmtId="0" fontId="2" fillId="2" borderId="1" xfId="0" applyFont="1" applyFill="1" applyBorder="1" applyAlignment="1" applyProtection="1">
      <alignment horizontal="left"/>
    </xf>
    <xf numFmtId="0" fontId="2" fillId="0" borderId="0" xfId="0" applyNumberFormat="1" applyFont="1" applyBorder="1" applyAlignment="1" applyProtection="1"/>
    <xf numFmtId="16" fontId="2" fillId="0" borderId="0" xfId="0" quotePrefix="1" applyNumberFormat="1" applyFont="1" applyBorder="1" applyAlignment="1" applyProtection="1"/>
    <xf numFmtId="0" fontId="3" fillId="0" borderId="0" xfId="0" applyNumberFormat="1" applyFont="1" applyBorder="1" applyAlignment="1" applyProtection="1"/>
    <xf numFmtId="3" fontId="2" fillId="0" borderId="0" xfId="0" applyNumberFormat="1" applyFont="1" applyBorder="1" applyAlignment="1" applyProtection="1"/>
    <xf numFmtId="3" fontId="2" fillId="0" borderId="1" xfId="0" applyNumberFormat="1" applyFont="1" applyFill="1" applyBorder="1" applyAlignment="1" applyProtection="1"/>
    <xf numFmtId="0" fontId="2" fillId="2" borderId="3" xfId="0" applyNumberFormat="1" applyFont="1" applyFill="1" applyBorder="1" applyAlignment="1" applyProtection="1"/>
    <xf numFmtId="0" fontId="2" fillId="0" borderId="4" xfId="0" applyNumberFormat="1" applyFont="1" applyBorder="1" applyAlignment="1" applyProtection="1"/>
    <xf numFmtId="0" fontId="2" fillId="0" borderId="5" xfId="0" applyNumberFormat="1" applyFont="1" applyBorder="1" applyAlignment="1" applyProtection="1"/>
    <xf numFmtId="0" fontId="2" fillId="0" borderId="6" xfId="0" applyNumberFormat="1" applyFont="1" applyBorder="1" applyAlignment="1" applyProtection="1"/>
    <xf numFmtId="0" fontId="2" fillId="0" borderId="8" xfId="0" applyNumberFormat="1" applyFont="1" applyBorder="1" applyAlignment="1" applyProtection="1"/>
    <xf numFmtId="0" fontId="2" fillId="0" borderId="10" xfId="0" applyNumberFormat="1" applyFont="1" applyBorder="1" applyAlignment="1" applyProtection="1"/>
    <xf numFmtId="0" fontId="2" fillId="0" borderId="12" xfId="0" applyNumberFormat="1" applyFont="1" applyBorder="1" applyAlignment="1" applyProtection="1"/>
    <xf numFmtId="0" fontId="2" fillId="0" borderId="13" xfId="0" applyNumberFormat="1" applyFont="1" applyBorder="1" applyAlignment="1" applyProtection="1"/>
    <xf numFmtId="0" fontId="2" fillId="0" borderId="14" xfId="0" applyNumberFormat="1" applyFont="1" applyBorder="1" applyAlignment="1" applyProtection="1"/>
    <xf numFmtId="0" fontId="2" fillId="0" borderId="15" xfId="0" applyNumberFormat="1" applyFont="1" applyBorder="1" applyAlignment="1" applyProtection="1"/>
    <xf numFmtId="0" fontId="2" fillId="0" borderId="1" xfId="0" applyNumberFormat="1" applyFont="1" applyFill="1" applyBorder="1" applyAlignment="1" applyProtection="1"/>
    <xf numFmtId="3" fontId="2" fillId="4" borderId="1" xfId="0" applyNumberFormat="1" applyFont="1" applyFill="1" applyBorder="1" applyAlignment="1" applyProtection="1"/>
    <xf numFmtId="3" fontId="3" fillId="0" borderId="0" xfId="0" applyNumberFormat="1" applyFont="1" applyFill="1" applyBorder="1" applyAlignment="1" applyProtection="1"/>
    <xf numFmtId="0" fontId="4" fillId="0" borderId="1" xfId="0" applyNumberFormat="1" applyFont="1" applyFill="1" applyBorder="1" applyAlignment="1" applyProtection="1"/>
    <xf numFmtId="0" fontId="2" fillId="2" borderId="16" xfId="0" applyNumberFormat="1" applyFont="1" applyFill="1" applyBorder="1" applyAlignment="1" applyProtection="1"/>
    <xf numFmtId="0" fontId="2" fillId="2" borderId="0" xfId="0" applyNumberFormat="1" applyFont="1" applyFill="1" applyBorder="1" applyAlignment="1" applyProtection="1"/>
    <xf numFmtId="0" fontId="2" fillId="0" borderId="1"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2" xfId="0" applyNumberFormat="1" applyFont="1" applyBorder="1" applyAlignment="1" applyProtection="1"/>
    <xf numFmtId="0" fontId="2" fillId="2" borderId="17" xfId="0" applyNumberFormat="1" applyFont="1" applyFill="1" applyBorder="1" applyAlignment="1" applyProtection="1"/>
    <xf numFmtId="0" fontId="2" fillId="2" borderId="18" xfId="0" applyNumberFormat="1" applyFont="1" applyFill="1" applyBorder="1" applyAlignment="1" applyProtection="1"/>
    <xf numFmtId="0" fontId="2" fillId="2" borderId="19" xfId="0" applyNumberFormat="1" applyFont="1" applyFill="1" applyBorder="1" applyAlignment="1" applyProtection="1"/>
    <xf numFmtId="0" fontId="2" fillId="2" borderId="2" xfId="0" applyFont="1" applyFill="1" applyBorder="1" applyProtection="1"/>
    <xf numFmtId="0" fontId="3" fillId="0" borderId="2" xfId="0" applyNumberFormat="1" applyFont="1" applyBorder="1" applyAlignment="1" applyProtection="1"/>
    <xf numFmtId="0" fontId="2" fillId="0" borderId="20" xfId="0" applyNumberFormat="1" applyFont="1" applyBorder="1" applyAlignment="1" applyProtection="1"/>
    <xf numFmtId="0" fontId="2" fillId="2" borderId="21" xfId="0" applyNumberFormat="1" applyFont="1" applyFill="1" applyBorder="1" applyAlignment="1" applyProtection="1"/>
    <xf numFmtId="0" fontId="2" fillId="2" borderId="22" xfId="0" applyNumberFormat="1" applyFont="1" applyFill="1" applyBorder="1" applyAlignment="1" applyProtection="1"/>
    <xf numFmtId="0" fontId="2" fillId="2" borderId="23" xfId="0" applyNumberFormat="1" applyFont="1" applyFill="1" applyBorder="1" applyAlignment="1" applyProtection="1"/>
    <xf numFmtId="0" fontId="2" fillId="2" borderId="20" xfId="0" applyNumberFormat="1" applyFont="1" applyFill="1" applyBorder="1" applyAlignment="1" applyProtection="1"/>
    <xf numFmtId="0" fontId="2" fillId="2" borderId="24" xfId="0" applyNumberFormat="1" applyFont="1" applyFill="1" applyBorder="1" applyAlignment="1" applyProtection="1"/>
    <xf numFmtId="0" fontId="2" fillId="0" borderId="0" xfId="0" applyNumberFormat="1" applyFont="1" applyBorder="1" applyAlignment="1" applyProtection="1">
      <alignment horizontal="left" vertical="top"/>
    </xf>
    <xf numFmtId="0" fontId="2" fillId="2" borderId="20" xfId="0" applyFont="1" applyFill="1" applyBorder="1" applyProtection="1"/>
    <xf numFmtId="0" fontId="3" fillId="0" borderId="20" xfId="0" applyNumberFormat="1" applyFont="1" applyBorder="1" applyAlignment="1" applyProtection="1"/>
    <xf numFmtId="0" fontId="2" fillId="0" borderId="0" xfId="0" applyNumberFormat="1" applyFont="1" applyAlignment="1" applyProtection="1">
      <alignment horizontal="center"/>
    </xf>
    <xf numFmtId="0" fontId="2" fillId="0" borderId="0" xfId="0" applyNumberFormat="1" applyFont="1" applyAlignment="1" applyProtection="1">
      <alignment horizontal="center" vertical="top"/>
    </xf>
    <xf numFmtId="0" fontId="2" fillId="2" borderId="2" xfId="0" applyFont="1" applyFill="1" applyBorder="1" applyAlignment="1" applyProtection="1">
      <alignment horizontal="left"/>
    </xf>
    <xf numFmtId="0" fontId="2" fillId="2" borderId="2" xfId="0" quotePrefix="1" applyFont="1" applyFill="1" applyBorder="1" applyAlignment="1" applyProtection="1">
      <alignment horizontal="left"/>
    </xf>
    <xf numFmtId="16" fontId="2" fillId="0" borderId="2" xfId="0" quotePrefix="1" applyNumberFormat="1" applyFont="1" applyBorder="1" applyAlignment="1" applyProtection="1"/>
    <xf numFmtId="0" fontId="2" fillId="2" borderId="0" xfId="0" applyFont="1" applyFill="1" applyBorder="1" applyProtection="1"/>
    <xf numFmtId="0" fontId="2" fillId="2" borderId="25" xfId="0" applyFont="1" applyFill="1" applyBorder="1" applyAlignment="1" applyProtection="1">
      <alignment horizontal="left"/>
    </xf>
    <xf numFmtId="0" fontId="2" fillId="2" borderId="25" xfId="0" applyFont="1" applyFill="1" applyBorder="1" applyProtection="1"/>
    <xf numFmtId="0" fontId="2" fillId="2" borderId="26" xfId="0" applyFont="1" applyFill="1" applyBorder="1" applyProtection="1"/>
    <xf numFmtId="0" fontId="2" fillId="0" borderId="27" xfId="0" applyNumberFormat="1" applyFont="1" applyBorder="1" applyAlignment="1" applyProtection="1"/>
    <xf numFmtId="0" fontId="2" fillId="2" borderId="28" xfId="0" applyFont="1" applyFill="1" applyBorder="1" applyAlignment="1" applyProtection="1">
      <alignment horizontal="left"/>
    </xf>
    <xf numFmtId="0" fontId="2" fillId="2" borderId="29" xfId="0" applyFont="1" applyFill="1" applyBorder="1" applyAlignment="1" applyProtection="1">
      <alignment horizontal="left"/>
    </xf>
    <xf numFmtId="0" fontId="2" fillId="2" borderId="30" xfId="0" applyFont="1" applyFill="1" applyBorder="1" applyAlignment="1" applyProtection="1">
      <alignment horizontal="left"/>
    </xf>
    <xf numFmtId="0" fontId="2" fillId="2" borderId="30" xfId="0" applyFont="1" applyFill="1" applyBorder="1" applyProtection="1"/>
    <xf numFmtId="0" fontId="2" fillId="2" borderId="31" xfId="0" applyFont="1" applyFill="1" applyBorder="1" applyProtection="1"/>
    <xf numFmtId="0" fontId="2" fillId="2" borderId="32" xfId="0" applyFont="1" applyFill="1" applyBorder="1" applyProtection="1"/>
    <xf numFmtId="0" fontId="2" fillId="0" borderId="32" xfId="0" applyNumberFormat="1" applyFont="1" applyBorder="1" applyAlignment="1" applyProtection="1"/>
    <xf numFmtId="16" fontId="2" fillId="0" borderId="29" xfId="0" quotePrefix="1" applyNumberFormat="1" applyFont="1" applyBorder="1" applyAlignment="1" applyProtection="1"/>
    <xf numFmtId="16" fontId="2" fillId="0" borderId="30" xfId="0" quotePrefix="1" applyNumberFormat="1" applyFont="1" applyBorder="1" applyAlignment="1" applyProtection="1"/>
    <xf numFmtId="0" fontId="3" fillId="0" borderId="30" xfId="0" applyNumberFormat="1" applyFont="1" applyBorder="1" applyAlignment="1" applyProtection="1"/>
    <xf numFmtId="0" fontId="3" fillId="0" borderId="31" xfId="0" applyNumberFormat="1" applyFont="1" applyBorder="1" applyAlignment="1" applyProtection="1"/>
    <xf numFmtId="16" fontId="2" fillId="0" borderId="28" xfId="0" quotePrefix="1" applyNumberFormat="1" applyFont="1" applyBorder="1" applyAlignment="1" applyProtection="1"/>
    <xf numFmtId="0" fontId="2" fillId="2" borderId="28" xfId="0" quotePrefix="1" applyFont="1" applyFill="1" applyBorder="1" applyAlignment="1" applyProtection="1">
      <alignment horizontal="left"/>
    </xf>
    <xf numFmtId="0" fontId="2" fillId="2" borderId="33" xfId="0" applyFont="1" applyFill="1" applyBorder="1" applyAlignment="1" applyProtection="1">
      <alignment horizontal="center"/>
    </xf>
    <xf numFmtId="0" fontId="2" fillId="2" borderId="28" xfId="0" applyFont="1" applyFill="1" applyBorder="1" applyAlignment="1" applyProtection="1">
      <alignment horizontal="center"/>
    </xf>
    <xf numFmtId="16" fontId="2" fillId="0" borderId="29" xfId="0" quotePrefix="1" applyNumberFormat="1" applyFont="1" applyBorder="1" applyAlignment="1" applyProtection="1">
      <alignment horizontal="center"/>
    </xf>
    <xf numFmtId="0" fontId="2" fillId="2" borderId="28" xfId="0" applyFont="1" applyFill="1" applyBorder="1" applyProtection="1"/>
    <xf numFmtId="3" fontId="2" fillId="0" borderId="32" xfId="0" applyNumberFormat="1" applyFont="1" applyFill="1" applyBorder="1" applyAlignment="1" applyProtection="1"/>
    <xf numFmtId="0" fontId="2" fillId="0" borderId="34" xfId="0" applyNumberFormat="1" applyFont="1" applyBorder="1" applyAlignment="1" applyProtection="1">
      <alignment horizontal="center" vertical="top"/>
    </xf>
    <xf numFmtId="3" fontId="2" fillId="4" borderId="2" xfId="0" applyNumberFormat="1" applyFont="1" applyFill="1" applyBorder="1" applyAlignment="1" applyProtection="1"/>
    <xf numFmtId="3" fontId="2" fillId="0" borderId="2" xfId="0" applyNumberFormat="1" applyFont="1" applyFill="1" applyBorder="1" applyAlignment="1" applyProtection="1"/>
    <xf numFmtId="0" fontId="2" fillId="2" borderId="4" xfId="0" applyFont="1" applyFill="1" applyBorder="1" applyProtection="1"/>
    <xf numFmtId="0" fontId="2" fillId="2" borderId="3" xfId="0" applyFont="1" applyFill="1" applyBorder="1" applyProtection="1"/>
    <xf numFmtId="0" fontId="2" fillId="2" borderId="35" xfId="0" applyFont="1" applyFill="1" applyBorder="1" applyProtection="1"/>
    <xf numFmtId="0" fontId="2" fillId="0" borderId="36" xfId="0" applyNumberFormat="1" applyFont="1" applyBorder="1" applyAlignment="1" applyProtection="1"/>
    <xf numFmtId="0" fontId="2" fillId="0" borderId="37" xfId="0" applyNumberFormat="1" applyFont="1" applyBorder="1" applyAlignment="1" applyProtection="1">
      <alignment horizontal="center"/>
    </xf>
    <xf numFmtId="9" fontId="7" fillId="4" borderId="1" xfId="2" applyFont="1" applyFill="1" applyBorder="1" applyAlignment="1" applyProtection="1"/>
    <xf numFmtId="3" fontId="7" fillId="0" borderId="1" xfId="0" applyNumberFormat="1" applyFont="1" applyFill="1" applyBorder="1" applyAlignment="1" applyProtection="1"/>
    <xf numFmtId="4" fontId="2" fillId="4" borderId="1" xfId="0" applyNumberFormat="1" applyFont="1" applyFill="1" applyBorder="1" applyAlignment="1" applyProtection="1"/>
    <xf numFmtId="3" fontId="7" fillId="0" borderId="2" xfId="0" applyNumberFormat="1" applyFont="1" applyFill="1" applyBorder="1" applyAlignment="1" applyProtection="1">
      <alignment horizontal="center"/>
    </xf>
    <xf numFmtId="3" fontId="2" fillId="0" borderId="30" xfId="0" applyNumberFormat="1" applyFont="1" applyFill="1" applyBorder="1" applyAlignment="1" applyProtection="1">
      <alignment horizontal="center"/>
    </xf>
    <xf numFmtId="0" fontId="2" fillId="0" borderId="16" xfId="0" applyNumberFormat="1" applyFont="1" applyBorder="1" applyAlignment="1" applyProtection="1"/>
    <xf numFmtId="0" fontId="2" fillId="0" borderId="23" xfId="0" applyNumberFormat="1" applyFont="1" applyBorder="1" applyAlignment="1" applyProtection="1"/>
    <xf numFmtId="0" fontId="2" fillId="0" borderId="19" xfId="0" applyNumberFormat="1" applyFont="1" applyBorder="1" applyAlignment="1" applyProtection="1"/>
    <xf numFmtId="0" fontId="2" fillId="0" borderId="24" xfId="0" applyNumberFormat="1" applyFont="1" applyBorder="1" applyAlignment="1" applyProtection="1"/>
    <xf numFmtId="0" fontId="3" fillId="0" borderId="18" xfId="0" applyNumberFormat="1" applyFont="1" applyBorder="1" applyAlignment="1" applyProtection="1"/>
    <xf numFmtId="3" fontId="2" fillId="4" borderId="7" xfId="0" applyNumberFormat="1" applyFont="1" applyFill="1" applyBorder="1" applyAlignment="1" applyProtection="1"/>
    <xf numFmtId="0" fontId="2" fillId="0" borderId="39" xfId="0" applyNumberFormat="1" applyFont="1" applyBorder="1" applyAlignment="1" applyProtection="1"/>
    <xf numFmtId="0" fontId="2" fillId="0" borderId="16" xfId="0" applyFont="1" applyFill="1" applyBorder="1" applyAlignment="1" applyProtection="1"/>
    <xf numFmtId="0" fontId="2" fillId="2" borderId="0" xfId="0" applyFont="1" applyFill="1" applyBorder="1" applyAlignment="1" applyProtection="1">
      <alignment horizontal="left"/>
    </xf>
    <xf numFmtId="0" fontId="2" fillId="0" borderId="0" xfId="0" applyFont="1" applyFill="1" applyBorder="1" applyAlignment="1" applyProtection="1"/>
    <xf numFmtId="0" fontId="2" fillId="2" borderId="41" xfId="0" applyFont="1" applyFill="1" applyBorder="1" applyProtection="1"/>
    <xf numFmtId="0" fontId="2" fillId="2" borderId="42" xfId="0" applyFont="1" applyFill="1" applyBorder="1" applyProtection="1"/>
    <xf numFmtId="0" fontId="2" fillId="2" borderId="5" xfId="0" applyFont="1" applyFill="1" applyBorder="1" applyProtection="1"/>
    <xf numFmtId="0" fontId="2" fillId="2" borderId="12" xfId="0" applyFont="1" applyFill="1" applyBorder="1" applyAlignment="1" applyProtection="1">
      <alignment horizontal="left"/>
    </xf>
    <xf numFmtId="0" fontId="2" fillId="2" borderId="18" xfId="0" applyFont="1" applyFill="1" applyBorder="1" applyProtection="1"/>
    <xf numFmtId="0" fontId="2" fillId="2" borderId="23" xfId="0" applyFont="1" applyFill="1" applyBorder="1" applyProtection="1"/>
    <xf numFmtId="0" fontId="2" fillId="2" borderId="6" xfId="0" applyFont="1" applyFill="1" applyBorder="1" applyProtection="1"/>
    <xf numFmtId="3" fontId="2" fillId="4" borderId="6" xfId="0" applyNumberFormat="1" applyFont="1" applyFill="1" applyBorder="1" applyAlignment="1" applyProtection="1"/>
    <xf numFmtId="0" fontId="2" fillId="2" borderId="13" xfId="0" quotePrefix="1" applyFont="1" applyFill="1" applyBorder="1" applyAlignment="1" applyProtection="1">
      <alignment horizontal="left"/>
    </xf>
    <xf numFmtId="0" fontId="2" fillId="2" borderId="13" xfId="0" applyFont="1" applyFill="1" applyBorder="1" applyAlignment="1" applyProtection="1">
      <alignment horizontal="left"/>
    </xf>
    <xf numFmtId="0" fontId="2" fillId="2" borderId="14" xfId="0" applyFont="1" applyFill="1" applyBorder="1" applyAlignment="1" applyProtection="1">
      <alignment horizontal="left"/>
    </xf>
    <xf numFmtId="0" fontId="2" fillId="2" borderId="19" xfId="0" applyFont="1" applyFill="1" applyBorder="1" applyProtection="1"/>
    <xf numFmtId="0" fontId="2" fillId="0" borderId="43" xfId="0" applyFont="1" applyFill="1" applyBorder="1" applyAlignment="1" applyProtection="1"/>
    <xf numFmtId="0" fontId="2" fillId="2" borderId="12" xfId="0" applyFont="1" applyFill="1" applyBorder="1" applyProtection="1"/>
    <xf numFmtId="0" fontId="2" fillId="2" borderId="39" xfId="0" applyFont="1" applyFill="1" applyBorder="1" applyAlignment="1" applyProtection="1">
      <alignment horizontal="left"/>
    </xf>
    <xf numFmtId="0" fontId="2" fillId="2" borderId="44" xfId="0" applyFont="1" applyFill="1" applyBorder="1" applyAlignment="1" applyProtection="1">
      <alignment horizontal="left"/>
    </xf>
    <xf numFmtId="16" fontId="2" fillId="0" borderId="13" xfId="0" quotePrefix="1" applyNumberFormat="1" applyFont="1" applyBorder="1" applyAlignment="1" applyProtection="1"/>
    <xf numFmtId="16" fontId="2" fillId="0" borderId="14" xfId="0" quotePrefix="1" applyNumberFormat="1" applyFont="1" applyBorder="1" applyAlignment="1" applyProtection="1"/>
    <xf numFmtId="0" fontId="3" fillId="0" borderId="19" xfId="0" applyNumberFormat="1" applyFont="1" applyBorder="1" applyAlignment="1" applyProtection="1"/>
    <xf numFmtId="0" fontId="3" fillId="0" borderId="24" xfId="0" applyNumberFormat="1" applyFont="1" applyBorder="1" applyAlignment="1" applyProtection="1"/>
    <xf numFmtId="0" fontId="2" fillId="2" borderId="12" xfId="0" quotePrefix="1" applyFont="1" applyFill="1" applyBorder="1" applyAlignment="1" applyProtection="1">
      <alignment horizontal="left"/>
    </xf>
    <xf numFmtId="0" fontId="2" fillId="0" borderId="45" xfId="0" applyFont="1" applyFill="1" applyBorder="1" applyAlignment="1" applyProtection="1"/>
    <xf numFmtId="0" fontId="2" fillId="2" borderId="8" xfId="0" applyFont="1" applyFill="1" applyBorder="1" applyProtection="1"/>
    <xf numFmtId="0" fontId="3" fillId="0" borderId="45" xfId="0" applyNumberFormat="1" applyFont="1" applyBorder="1" applyAlignment="1" applyProtection="1"/>
    <xf numFmtId="0" fontId="5" fillId="0" borderId="13" xfId="0" applyFont="1" applyBorder="1" applyProtection="1"/>
    <xf numFmtId="0" fontId="5" fillId="0" borderId="46" xfId="0" applyFont="1" applyBorder="1" applyProtection="1"/>
    <xf numFmtId="0" fontId="3" fillId="0" borderId="47" xfId="0" applyFont="1" applyBorder="1" applyAlignment="1" applyProtection="1">
      <alignment horizontal="left"/>
    </xf>
    <xf numFmtId="0" fontId="3" fillId="0" borderId="47" xfId="0" applyFont="1" applyBorder="1" applyAlignment="1" applyProtection="1">
      <alignment horizontal="right"/>
    </xf>
    <xf numFmtId="3" fontId="3" fillId="0" borderId="47" xfId="0" applyNumberFormat="1" applyFont="1" applyFill="1" applyBorder="1" applyAlignment="1" applyProtection="1">
      <alignment horizontal="center"/>
    </xf>
    <xf numFmtId="3" fontId="2" fillId="5" borderId="27" xfId="0" applyNumberFormat="1" applyFont="1" applyFill="1" applyBorder="1" applyAlignment="1" applyProtection="1">
      <alignment horizontal="left"/>
      <protection locked="0"/>
    </xf>
    <xf numFmtId="3" fontId="2" fillId="5" borderId="25" xfId="0" applyNumberFormat="1" applyFont="1" applyFill="1" applyBorder="1" applyAlignment="1" applyProtection="1">
      <alignment horizontal="left"/>
      <protection locked="0"/>
    </xf>
    <xf numFmtId="3" fontId="2" fillId="5" borderId="1" xfId="0" applyNumberFormat="1" applyFont="1" applyFill="1" applyBorder="1" applyAlignment="1" applyProtection="1">
      <alignment horizontal="left"/>
      <protection locked="0"/>
    </xf>
    <xf numFmtId="3" fontId="3" fillId="6" borderId="32" xfId="0" applyNumberFormat="1" applyFont="1" applyFill="1" applyBorder="1" applyAlignment="1" applyProtection="1">
      <alignment horizontal="left"/>
    </xf>
    <xf numFmtId="0" fontId="2" fillId="2" borderId="48" xfId="0" applyFont="1" applyFill="1" applyBorder="1" applyAlignment="1" applyProtection="1">
      <alignment horizontal="left"/>
    </xf>
    <xf numFmtId="0" fontId="2" fillId="2" borderId="3" xfId="0" applyFont="1" applyFill="1" applyBorder="1" applyAlignment="1" applyProtection="1">
      <alignment horizontal="left"/>
    </xf>
    <xf numFmtId="4" fontId="2" fillId="4" borderId="4" xfId="0" applyNumberFormat="1" applyFont="1" applyFill="1" applyBorder="1" applyAlignment="1" applyProtection="1"/>
    <xf numFmtId="4" fontId="2" fillId="4" borderId="3" xfId="0" applyNumberFormat="1" applyFont="1" applyFill="1" applyBorder="1" applyAlignment="1" applyProtection="1"/>
    <xf numFmtId="3" fontId="2" fillId="5" borderId="2" xfId="0" applyNumberFormat="1" applyFont="1" applyFill="1" applyBorder="1" applyAlignment="1" applyProtection="1">
      <alignment horizontal="left"/>
      <protection locked="0"/>
    </xf>
    <xf numFmtId="0" fontId="8" fillId="0" borderId="0" xfId="0" applyFont="1"/>
    <xf numFmtId="0" fontId="2" fillId="0" borderId="39" xfId="0" applyNumberFormat="1" applyFont="1" applyFill="1" applyBorder="1" applyAlignment="1" applyProtection="1"/>
    <xf numFmtId="0" fontId="2" fillId="0" borderId="3" xfId="0" applyNumberFormat="1" applyFont="1" applyFill="1" applyBorder="1" applyAlignment="1" applyProtection="1"/>
    <xf numFmtId="0" fontId="2" fillId="0" borderId="21" xfId="0" applyNumberFormat="1" applyFont="1" applyFill="1" applyBorder="1" applyAlignment="1" applyProtection="1"/>
    <xf numFmtId="0" fontId="2" fillId="0" borderId="6" xfId="0" applyNumberFormat="1" applyFont="1" applyFill="1" applyBorder="1" applyAlignment="1" applyProtection="1"/>
    <xf numFmtId="0" fontId="2" fillId="0" borderId="8" xfId="0" applyNumberFormat="1" applyFont="1" applyFill="1" applyBorder="1" applyAlignment="1" applyProtection="1"/>
    <xf numFmtId="0" fontId="2" fillId="0" borderId="12" xfId="0" applyNumberFormat="1" applyFont="1" applyFill="1" applyBorder="1" applyAlignment="1" applyProtection="1"/>
    <xf numFmtId="0" fontId="2" fillId="0" borderId="18" xfId="0" applyNumberFormat="1" applyFont="1" applyFill="1" applyBorder="1" applyAlignment="1" applyProtection="1"/>
    <xf numFmtId="0" fontId="2" fillId="0" borderId="13" xfId="0" applyNumberFormat="1" applyFont="1" applyFill="1" applyBorder="1" applyAlignment="1" applyProtection="1"/>
    <xf numFmtId="0" fontId="2" fillId="0" borderId="2" xfId="0" applyNumberFormat="1" applyFont="1" applyFill="1" applyBorder="1" applyAlignment="1" applyProtection="1"/>
    <xf numFmtId="3" fontId="2" fillId="0" borderId="0" xfId="0" applyNumberFormat="1" applyFont="1" applyAlignment="1" applyProtection="1"/>
    <xf numFmtId="0" fontId="2" fillId="0" borderId="0" xfId="0" applyNumberFormat="1" applyFont="1" applyAlignment="1" applyProtection="1">
      <alignment horizontal="right"/>
    </xf>
    <xf numFmtId="0" fontId="2" fillId="2" borderId="2" xfId="0" applyNumberFormat="1" applyFont="1" applyFill="1" applyBorder="1" applyAlignment="1" applyProtection="1">
      <alignment horizontal="right"/>
    </xf>
    <xf numFmtId="0" fontId="2" fillId="0" borderId="49" xfId="0" applyNumberFormat="1" applyFont="1" applyBorder="1" applyAlignment="1" applyProtection="1">
      <alignment horizontal="center"/>
    </xf>
    <xf numFmtId="0" fontId="2" fillId="0" borderId="15" xfId="0" applyNumberFormat="1" applyFont="1" applyFill="1" applyBorder="1" applyAlignment="1" applyProtection="1">
      <alignment horizontal="center"/>
    </xf>
    <xf numFmtId="0" fontId="2" fillId="0" borderId="10" xfId="0" applyNumberFormat="1" applyFont="1" applyFill="1" applyBorder="1" applyAlignment="1" applyProtection="1">
      <alignment horizontal="center"/>
    </xf>
    <xf numFmtId="16" fontId="2" fillId="0" borderId="13" xfId="0" quotePrefix="1" applyNumberFormat="1" applyFont="1" applyFill="1" applyBorder="1" applyAlignment="1" applyProtection="1">
      <alignment horizontal="left"/>
    </xf>
    <xf numFmtId="0" fontId="2" fillId="0" borderId="2" xfId="0" applyFont="1" applyFill="1" applyBorder="1" applyProtection="1"/>
    <xf numFmtId="0" fontId="2" fillId="5" borderId="0" xfId="0" applyNumberFormat="1" applyFont="1" applyFill="1" applyAlignment="1" applyProtection="1">
      <alignment horizontal="center" vertical="top"/>
    </xf>
    <xf numFmtId="0" fontId="2" fillId="0" borderId="10" xfId="0" applyNumberFormat="1" applyFont="1" applyBorder="1" applyAlignment="1" applyProtection="1">
      <alignment horizontal="center"/>
    </xf>
    <xf numFmtId="0" fontId="2" fillId="0" borderId="5" xfId="0" applyNumberFormat="1" applyFont="1" applyFill="1" applyBorder="1" applyAlignment="1" applyProtection="1">
      <alignment horizontal="center"/>
    </xf>
    <xf numFmtId="165" fontId="0" fillId="0" borderId="0" xfId="0" applyNumberFormat="1"/>
    <xf numFmtId="165" fontId="2" fillId="0" borderId="0" xfId="0" applyNumberFormat="1" applyFont="1" applyAlignment="1" applyProtection="1">
      <alignment horizontal="center" vertical="top"/>
    </xf>
    <xf numFmtId="0" fontId="0" fillId="0" borderId="51" xfId="0" applyBorder="1"/>
    <xf numFmtId="0" fontId="0" fillId="0" borderId="52" xfId="0" applyBorder="1"/>
    <xf numFmtId="3" fontId="2" fillId="4" borderId="11" xfId="0" applyNumberFormat="1" applyFont="1" applyFill="1" applyBorder="1" applyAlignment="1" applyProtection="1"/>
    <xf numFmtId="0" fontId="0" fillId="0" borderId="53" xfId="0" applyBorder="1"/>
    <xf numFmtId="0" fontId="0" fillId="0" borderId="0" xfId="0" applyBorder="1"/>
    <xf numFmtId="3" fontId="2" fillId="0" borderId="7" xfId="0" applyNumberFormat="1" applyFont="1" applyFill="1" applyBorder="1" applyAlignment="1" applyProtection="1"/>
    <xf numFmtId="0" fontId="0" fillId="0" borderId="46" xfId="0" applyBorder="1"/>
    <xf numFmtId="0" fontId="0" fillId="0" borderId="47" xfId="0" applyBorder="1"/>
    <xf numFmtId="3" fontId="2" fillId="4" borderId="19" xfId="0" applyNumberFormat="1" applyFont="1" applyFill="1" applyBorder="1" applyAlignment="1" applyProtection="1"/>
    <xf numFmtId="3" fontId="2" fillId="4" borderId="9" xfId="0" applyNumberFormat="1" applyFont="1" applyFill="1" applyBorder="1" applyAlignment="1" applyProtection="1"/>
    <xf numFmtId="3" fontId="4" fillId="0" borderId="0" xfId="0" applyNumberFormat="1" applyFont="1" applyFill="1" applyBorder="1" applyAlignment="1" applyProtection="1"/>
    <xf numFmtId="3" fontId="4" fillId="0" borderId="8" xfId="0" applyNumberFormat="1" applyFont="1" applyFill="1" applyBorder="1" applyAlignment="1" applyProtection="1"/>
    <xf numFmtId="3" fontId="4" fillId="0" borderId="4" xfId="0" applyNumberFormat="1" applyFont="1" applyFill="1" applyBorder="1" applyAlignment="1" applyProtection="1"/>
    <xf numFmtId="14" fontId="4" fillId="2" borderId="8" xfId="0" applyNumberFormat="1" applyFont="1" applyFill="1" applyBorder="1" applyAlignment="1" applyProtection="1"/>
    <xf numFmtId="167" fontId="2" fillId="5" borderId="1" xfId="0" applyNumberFormat="1" applyFont="1" applyFill="1" applyBorder="1" applyAlignment="1" applyProtection="1">
      <alignment horizontal="center"/>
    </xf>
    <xf numFmtId="0" fontId="0" fillId="0" borderId="0" xfId="0" applyBorder="1" applyAlignment="1"/>
    <xf numFmtId="3" fontId="4" fillId="0" borderId="6" xfId="0" applyNumberFormat="1" applyFont="1" applyFill="1" applyBorder="1" applyAlignment="1" applyProtection="1"/>
    <xf numFmtId="0" fontId="2" fillId="2" borderId="55" xfId="0" applyNumberFormat="1" applyFont="1" applyFill="1" applyBorder="1" applyAlignment="1" applyProtection="1"/>
    <xf numFmtId="0" fontId="0" fillId="0" borderId="34" xfId="0" applyBorder="1" applyAlignment="1"/>
    <xf numFmtId="0" fontId="0" fillId="0" borderId="42" xfId="0" applyBorder="1" applyAlignment="1"/>
    <xf numFmtId="0" fontId="2" fillId="2" borderId="53" xfId="0" applyNumberFormat="1" applyFont="1" applyFill="1" applyBorder="1" applyAlignment="1" applyProtection="1"/>
    <xf numFmtId="0" fontId="0" fillId="0" borderId="56" xfId="0" applyBorder="1" applyAlignment="1"/>
    <xf numFmtId="0" fontId="2" fillId="0" borderId="49" xfId="0" applyNumberFormat="1" applyFont="1" applyBorder="1" applyAlignment="1" applyProtection="1"/>
    <xf numFmtId="0" fontId="2" fillId="0" borderId="57" xfId="0" applyNumberFormat="1" applyFont="1" applyBorder="1" applyAlignment="1" applyProtection="1"/>
    <xf numFmtId="0" fontId="2" fillId="0" borderId="58" xfId="0" applyNumberFormat="1" applyFont="1" applyBorder="1" applyAlignment="1" applyProtection="1"/>
    <xf numFmtId="0" fontId="2" fillId="0" borderId="41" xfId="0" applyNumberFormat="1" applyFont="1" applyBorder="1" applyAlignment="1" applyProtection="1"/>
    <xf numFmtId="0" fontId="2" fillId="0" borderId="0" xfId="0" applyNumberFormat="1" applyFont="1" applyFill="1" applyAlignment="1" applyProtection="1">
      <alignment horizontal="left" vertical="top"/>
    </xf>
    <xf numFmtId="0" fontId="2" fillId="0" borderId="17" xfId="0" applyNumberFormat="1" applyFont="1" applyBorder="1" applyAlignment="1" applyProtection="1">
      <alignment horizontal="center"/>
    </xf>
    <xf numFmtId="0" fontId="2" fillId="0" borderId="60" xfId="0" applyNumberFormat="1" applyFont="1" applyBorder="1" applyAlignment="1" applyProtection="1">
      <alignment horizontal="center"/>
    </xf>
    <xf numFmtId="0" fontId="2" fillId="0" borderId="15" xfId="0" applyNumberFormat="1" applyFont="1" applyBorder="1" applyAlignment="1" applyProtection="1">
      <alignment horizontal="center"/>
    </xf>
    <xf numFmtId="0" fontId="2" fillId="0" borderId="61" xfId="0" applyNumberFormat="1" applyFont="1" applyBorder="1" applyAlignment="1" applyProtection="1">
      <alignment horizontal="center"/>
    </xf>
    <xf numFmtId="0" fontId="2" fillId="0" borderId="50" xfId="0" applyNumberFormat="1" applyFont="1" applyBorder="1" applyAlignment="1" applyProtection="1">
      <alignment horizontal="center"/>
    </xf>
    <xf numFmtId="0" fontId="2" fillId="0" borderId="0" xfId="0" applyNumberFormat="1" applyFont="1" applyBorder="1" applyAlignment="1" applyProtection="1">
      <alignment horizontal="right"/>
    </xf>
    <xf numFmtId="0" fontId="2" fillId="7" borderId="0" xfId="0" applyNumberFormat="1" applyFont="1" applyFill="1" applyAlignment="1" applyProtection="1"/>
    <xf numFmtId="0" fontId="2" fillId="0" borderId="6" xfId="0" applyNumberFormat="1" applyFont="1" applyBorder="1" applyAlignment="1" applyProtection="1">
      <alignment horizontal="center"/>
    </xf>
    <xf numFmtId="0" fontId="2" fillId="0" borderId="18" xfId="0" applyNumberFormat="1" applyFont="1" applyBorder="1" applyAlignment="1" applyProtection="1">
      <alignment horizontal="center"/>
    </xf>
    <xf numFmtId="0" fontId="2" fillId="0" borderId="12" xfId="0" applyNumberFormat="1" applyFont="1" applyBorder="1" applyAlignment="1" applyProtection="1">
      <alignment horizontal="center"/>
    </xf>
    <xf numFmtId="0" fontId="2" fillId="2" borderId="44" xfId="0" applyFont="1" applyFill="1" applyBorder="1" applyProtection="1"/>
    <xf numFmtId="3" fontId="2" fillId="0" borderId="5" xfId="0" applyNumberFormat="1" applyFont="1" applyBorder="1" applyAlignment="1" applyProtection="1"/>
    <xf numFmtId="3" fontId="2" fillId="0" borderId="41" xfId="0" applyNumberFormat="1" applyFont="1" applyBorder="1" applyAlignment="1" applyProtection="1"/>
    <xf numFmtId="0" fontId="2" fillId="0" borderId="44" xfId="0" applyNumberFormat="1" applyFont="1" applyBorder="1" applyAlignment="1" applyProtection="1"/>
    <xf numFmtId="0" fontId="2" fillId="0" borderId="62" xfId="0" applyNumberFormat="1" applyFont="1" applyBorder="1" applyAlignment="1" applyProtection="1"/>
    <xf numFmtId="0" fontId="2" fillId="0" borderId="45" xfId="0" applyNumberFormat="1" applyFont="1" applyBorder="1" applyAlignment="1" applyProtection="1"/>
    <xf numFmtId="0" fontId="2" fillId="0" borderId="64" xfId="0" applyNumberFormat="1" applyFont="1" applyBorder="1" applyAlignment="1" applyProtection="1"/>
    <xf numFmtId="0" fontId="2" fillId="0" borderId="65" xfId="0" applyNumberFormat="1" applyFont="1" applyBorder="1" applyAlignment="1" applyProtection="1"/>
    <xf numFmtId="0" fontId="2" fillId="2" borderId="16" xfId="0" applyFont="1" applyFill="1" applyBorder="1" applyProtection="1"/>
    <xf numFmtId="0" fontId="2" fillId="0" borderId="16" xfId="0" applyNumberFormat="1" applyFont="1" applyFill="1" applyBorder="1" applyAlignment="1" applyProtection="1"/>
    <xf numFmtId="0" fontId="2" fillId="0" borderId="66" xfId="0" applyNumberFormat="1" applyFont="1" applyBorder="1" applyAlignment="1" applyProtection="1"/>
    <xf numFmtId="0" fontId="2" fillId="0" borderId="67" xfId="0" applyNumberFormat="1" applyFont="1" applyBorder="1" applyAlignment="1" applyProtection="1"/>
    <xf numFmtId="0" fontId="2" fillId="2" borderId="43" xfId="0" applyFont="1" applyFill="1" applyBorder="1" applyProtection="1"/>
    <xf numFmtId="0" fontId="2" fillId="0" borderId="43" xfId="0" applyNumberFormat="1" applyFont="1" applyBorder="1" applyAlignment="1" applyProtection="1"/>
    <xf numFmtId="0" fontId="2" fillId="0" borderId="43" xfId="0" applyNumberFormat="1" applyFont="1" applyFill="1" applyBorder="1" applyAlignment="1" applyProtection="1"/>
    <xf numFmtId="0" fontId="2" fillId="0" borderId="68" xfId="0" applyNumberFormat="1" applyFont="1" applyBorder="1" applyAlignment="1" applyProtection="1"/>
    <xf numFmtId="0" fontId="2" fillId="0" borderId="50" xfId="0" applyNumberFormat="1" applyFont="1" applyFill="1" applyBorder="1" applyAlignment="1" applyProtection="1"/>
    <xf numFmtId="0" fontId="2" fillId="0" borderId="0" xfId="0" applyNumberFormat="1" applyFont="1" applyFill="1" applyBorder="1" applyAlignment="1" applyProtection="1"/>
    <xf numFmtId="0" fontId="2" fillId="0" borderId="47" xfId="0" applyNumberFormat="1" applyFont="1" applyFill="1" applyBorder="1" applyAlignment="1" applyProtection="1">
      <alignment horizontal="left"/>
      <protection locked="0"/>
    </xf>
    <xf numFmtId="0" fontId="2" fillId="2" borderId="50" xfId="0" applyFont="1" applyFill="1" applyBorder="1" applyAlignment="1" applyProtection="1">
      <alignment horizontal="left"/>
    </xf>
    <xf numFmtId="0" fontId="2" fillId="2" borderId="41" xfId="0" applyFont="1" applyFill="1" applyBorder="1" applyAlignment="1" applyProtection="1">
      <alignment vertical="top"/>
    </xf>
    <xf numFmtId="0" fontId="2" fillId="0" borderId="34" xfId="0" applyFont="1" applyFill="1" applyBorder="1" applyAlignment="1" applyProtection="1">
      <alignment vertical="top"/>
    </xf>
    <xf numFmtId="0" fontId="2" fillId="0" borderId="42" xfId="0" applyNumberFormat="1" applyFont="1" applyBorder="1" applyAlignment="1" applyProtection="1">
      <alignment vertical="top"/>
    </xf>
    <xf numFmtId="0" fontId="2" fillId="2" borderId="2" xfId="0" applyFont="1" applyFill="1" applyBorder="1" applyAlignment="1" applyProtection="1">
      <alignment vertical="top"/>
    </xf>
    <xf numFmtId="0" fontId="2" fillId="0" borderId="16" xfId="0" applyFont="1" applyFill="1" applyBorder="1" applyAlignment="1" applyProtection="1">
      <alignment vertical="top"/>
    </xf>
    <xf numFmtId="0" fontId="2" fillId="0" borderId="20" xfId="0" applyNumberFormat="1" applyFont="1" applyBorder="1" applyAlignment="1" applyProtection="1">
      <alignment vertical="top"/>
    </xf>
    <xf numFmtId="0" fontId="2" fillId="2" borderId="14" xfId="0" quotePrefix="1" applyFont="1" applyFill="1" applyBorder="1" applyAlignment="1" applyProtection="1">
      <alignment horizontal="left"/>
    </xf>
    <xf numFmtId="0" fontId="2" fillId="2" borderId="19" xfId="0" applyFont="1" applyFill="1" applyBorder="1" applyAlignment="1" applyProtection="1">
      <alignment vertical="top"/>
    </xf>
    <xf numFmtId="0" fontId="2" fillId="0" borderId="43" xfId="0" applyFont="1" applyFill="1" applyBorder="1" applyAlignment="1" applyProtection="1">
      <alignment vertical="top"/>
    </xf>
    <xf numFmtId="0" fontId="2" fillId="0" borderId="24" xfId="0" applyNumberFormat="1" applyFont="1" applyBorder="1" applyAlignment="1" applyProtection="1">
      <alignment vertical="top"/>
    </xf>
    <xf numFmtId="0" fontId="24" fillId="0" borderId="0" xfId="0" applyNumberFormat="1" applyFont="1" applyFill="1" applyAlignment="1" applyProtection="1">
      <alignment horizontal="left" vertical="top"/>
    </xf>
    <xf numFmtId="0" fontId="24" fillId="0" borderId="60" xfId="0" applyNumberFormat="1" applyFont="1" applyBorder="1" applyAlignment="1" applyProtection="1">
      <alignment horizontal="center"/>
    </xf>
    <xf numFmtId="0" fontId="24" fillId="0" borderId="0" xfId="0" applyNumberFormat="1" applyFont="1" applyAlignment="1" applyProtection="1"/>
    <xf numFmtId="0" fontId="1" fillId="0" borderId="0" xfId="0" applyFont="1"/>
    <xf numFmtId="0" fontId="1" fillId="0" borderId="73" xfId="0" applyFont="1" applyBorder="1"/>
    <xf numFmtId="0" fontId="0" fillId="0" borderId="73" xfId="0" applyBorder="1"/>
    <xf numFmtId="0" fontId="2" fillId="0" borderId="54" xfId="0" applyNumberFormat="1" applyFont="1" applyBorder="1" applyAlignment="1" applyProtection="1">
      <alignment horizontal="center"/>
    </xf>
    <xf numFmtId="0" fontId="2" fillId="0" borderId="63" xfId="0" applyNumberFormat="1" applyFont="1" applyBorder="1" applyAlignment="1" applyProtection="1">
      <alignment horizontal="center"/>
    </xf>
    <xf numFmtId="14" fontId="4" fillId="3" borderId="9" xfId="0" applyNumberFormat="1" applyFont="1" applyFill="1" applyBorder="1" applyAlignment="1" applyProtection="1">
      <protection locked="0"/>
    </xf>
    <xf numFmtId="0" fontId="2" fillId="0" borderId="11" xfId="0" applyNumberFormat="1" applyFont="1" applyBorder="1" applyAlignment="1" applyProtection="1"/>
    <xf numFmtId="0" fontId="4" fillId="0" borderId="7" xfId="0" applyNumberFormat="1" applyFont="1" applyFill="1" applyBorder="1" applyAlignment="1" applyProtection="1"/>
    <xf numFmtId="0" fontId="2" fillId="0" borderId="7" xfId="0" applyNumberFormat="1" applyFont="1" applyBorder="1" applyAlignment="1" applyProtection="1"/>
    <xf numFmtId="0" fontId="2" fillId="0" borderId="60" xfId="0" applyNumberFormat="1" applyFont="1" applyBorder="1" applyAlignment="1" applyProtection="1"/>
    <xf numFmtId="0" fontId="25" fillId="9" borderId="0" xfId="0" applyNumberFormat="1" applyFont="1" applyFill="1" applyBorder="1" applyAlignment="1" applyProtection="1"/>
    <xf numFmtId="0" fontId="25" fillId="9" borderId="0" xfId="0" applyNumberFormat="1" applyFont="1" applyFill="1" applyAlignment="1" applyProtection="1"/>
    <xf numFmtId="0" fontId="2" fillId="9" borderId="0" xfId="0" applyNumberFormat="1" applyFont="1" applyFill="1" applyBorder="1" applyAlignment="1" applyProtection="1"/>
    <xf numFmtId="0" fontId="25" fillId="9" borderId="0" xfId="0" applyNumberFormat="1" applyFont="1" applyFill="1" applyAlignment="1" applyProtection="1">
      <alignment horizontal="left" vertical="top"/>
    </xf>
    <xf numFmtId="0" fontId="2" fillId="0" borderId="0" xfId="0" applyNumberFormat="1" applyFont="1" applyBorder="1" applyAlignment="1" applyProtection="1">
      <alignment horizontal="center" vertical="top"/>
    </xf>
    <xf numFmtId="0" fontId="24" fillId="0" borderId="0" xfId="0" applyNumberFormat="1" applyFont="1" applyBorder="1" applyAlignment="1" applyProtection="1">
      <alignment horizontal="center"/>
    </xf>
    <xf numFmtId="0" fontId="2" fillId="0" borderId="11" xfId="0" applyNumberFormat="1" applyFont="1" applyBorder="1" applyAlignment="1" applyProtection="1">
      <alignment horizontal="center"/>
    </xf>
    <xf numFmtId="0" fontId="2" fillId="0" borderId="74" xfId="0" applyNumberFormat="1" applyFont="1" applyBorder="1" applyAlignment="1" applyProtection="1"/>
    <xf numFmtId="1" fontId="0" fillId="0" borderId="0" xfId="0" applyNumberFormat="1"/>
    <xf numFmtId="1" fontId="8" fillId="0" borderId="0" xfId="0" applyNumberFormat="1" applyFont="1"/>
    <xf numFmtId="1" fontId="1" fillId="0" borderId="0" xfId="0" applyNumberFormat="1" applyFont="1"/>
    <xf numFmtId="0" fontId="2" fillId="9" borderId="0" xfId="0" applyNumberFormat="1" applyFont="1" applyFill="1" applyAlignment="1" applyProtection="1">
      <alignment horizontal="left" vertical="top"/>
    </xf>
    <xf numFmtId="0" fontId="26" fillId="9" borderId="0" xfId="0" applyNumberFormat="1" applyFont="1" applyFill="1" applyBorder="1" applyAlignment="1" applyProtection="1"/>
    <xf numFmtId="4" fontId="24" fillId="9" borderId="2" xfId="0" applyNumberFormat="1" applyFont="1" applyFill="1" applyBorder="1" applyAlignment="1" applyProtection="1"/>
    <xf numFmtId="4" fontId="24" fillId="9" borderId="3" xfId="0" applyNumberFormat="1" applyFont="1" applyFill="1" applyBorder="1" applyAlignment="1" applyProtection="1"/>
    <xf numFmtId="0" fontId="2" fillId="9" borderId="2" xfId="0" applyFont="1" applyFill="1" applyBorder="1" applyProtection="1"/>
    <xf numFmtId="0" fontId="2" fillId="9" borderId="20" xfId="0" applyFont="1" applyFill="1" applyBorder="1" applyProtection="1"/>
    <xf numFmtId="4" fontId="2" fillId="9" borderId="2" xfId="0" applyNumberFormat="1" applyFont="1" applyFill="1" applyBorder="1" applyAlignment="1" applyProtection="1"/>
    <xf numFmtId="0" fontId="2" fillId="9" borderId="0" xfId="0" applyFont="1" applyFill="1" applyBorder="1" applyProtection="1"/>
    <xf numFmtId="4" fontId="2" fillId="9" borderId="0" xfId="0" applyNumberFormat="1" applyFont="1" applyFill="1" applyBorder="1" applyAlignment="1" applyProtection="1"/>
    <xf numFmtId="4" fontId="24" fillId="9" borderId="0" xfId="0" applyNumberFormat="1" applyFont="1" applyFill="1" applyBorder="1" applyAlignment="1" applyProtection="1"/>
    <xf numFmtId="3" fontId="24" fillId="9" borderId="0" xfId="0" applyNumberFormat="1" applyFont="1" applyFill="1" applyBorder="1" applyAlignment="1" applyProtection="1"/>
    <xf numFmtId="0" fontId="2" fillId="2" borderId="73" xfId="0" applyFont="1" applyFill="1" applyBorder="1" applyAlignment="1" applyProtection="1">
      <alignment horizontal="left"/>
    </xf>
    <xf numFmtId="0" fontId="2" fillId="9" borderId="73" xfId="0" applyFont="1" applyFill="1" applyBorder="1" applyProtection="1"/>
    <xf numFmtId="0" fontId="2" fillId="9" borderId="77" xfId="0" applyFont="1" applyFill="1" applyBorder="1" applyProtection="1"/>
    <xf numFmtId="4" fontId="2" fillId="9" borderId="77" xfId="0" applyNumberFormat="1" applyFont="1" applyFill="1" applyBorder="1" applyAlignment="1" applyProtection="1"/>
    <xf numFmtId="0" fontId="2" fillId="0" borderId="77" xfId="0" applyNumberFormat="1" applyFont="1" applyBorder="1" applyAlignment="1" applyProtection="1"/>
    <xf numFmtId="4" fontId="24" fillId="9" borderId="77" xfId="0" applyNumberFormat="1" applyFont="1" applyFill="1" applyBorder="1" applyAlignment="1" applyProtection="1"/>
    <xf numFmtId="0" fontId="16" fillId="0" borderId="0" xfId="0" applyNumberFormat="1" applyFont="1" applyAlignment="1" applyProtection="1">
      <alignment horizontal="right"/>
    </xf>
    <xf numFmtId="0" fontId="2" fillId="0" borderId="0" xfId="0" applyNumberFormat="1" applyFont="1" applyFill="1" applyAlignment="1" applyProtection="1"/>
    <xf numFmtId="4" fontId="2" fillId="0" borderId="1" xfId="0" applyNumberFormat="1" applyFont="1" applyBorder="1" applyAlignment="1" applyProtection="1"/>
    <xf numFmtId="0" fontId="2" fillId="2" borderId="10" xfId="0" applyNumberFormat="1" applyFont="1" applyFill="1" applyBorder="1" applyAlignment="1" applyProtection="1"/>
    <xf numFmtId="0" fontId="2" fillId="2" borderId="6" xfId="0" applyNumberFormat="1" applyFont="1" applyFill="1" applyBorder="1" applyAlignment="1" applyProtection="1"/>
    <xf numFmtId="0" fontId="2" fillId="2" borderId="8" xfId="0" applyNumberFormat="1" applyFont="1" applyFill="1" applyBorder="1" applyAlignment="1" applyProtection="1"/>
    <xf numFmtId="170" fontId="2" fillId="2" borderId="16" xfId="2" applyNumberFormat="1" applyFont="1" applyFill="1" applyBorder="1" applyAlignment="1" applyProtection="1">
      <alignment horizontal="center"/>
    </xf>
    <xf numFmtId="0" fontId="2" fillId="2" borderId="16" xfId="0" applyNumberFormat="1" applyFont="1" applyFill="1" applyBorder="1" applyAlignment="1" applyProtection="1">
      <alignment horizontal="left"/>
    </xf>
    <xf numFmtId="0" fontId="2" fillId="2" borderId="41" xfId="0" applyNumberFormat="1" applyFont="1" applyFill="1" applyBorder="1" applyAlignment="1" applyProtection="1"/>
    <xf numFmtId="0" fontId="2" fillId="0" borderId="1" xfId="0" quotePrefix="1" applyNumberFormat="1" applyFont="1" applyBorder="1" applyAlignment="1" applyProtection="1"/>
    <xf numFmtId="9" fontId="2" fillId="0" borderId="1" xfId="2" applyFont="1" applyBorder="1" applyAlignment="1" applyProtection="1"/>
    <xf numFmtId="3" fontId="2" fillId="0" borderId="1" xfId="0" applyNumberFormat="1" applyFont="1" applyBorder="1" applyAlignment="1" applyProtection="1"/>
    <xf numFmtId="4" fontId="2" fillId="0" borderId="4" xfId="0" applyNumberFormat="1" applyFont="1" applyBorder="1" applyAlignment="1" applyProtection="1"/>
    <xf numFmtId="4" fontId="2" fillId="0" borderId="73" xfId="0" applyNumberFormat="1" applyFont="1" applyBorder="1" applyAlignment="1" applyProtection="1"/>
    <xf numFmtId="3" fontId="2" fillId="0" borderId="20" xfId="0" applyNumberFormat="1" applyFont="1" applyBorder="1" applyAlignment="1" applyProtection="1"/>
    <xf numFmtId="4" fontId="2" fillId="0" borderId="5" xfId="0" applyNumberFormat="1" applyFont="1" applyBorder="1" applyAlignment="1" applyProtection="1"/>
    <xf numFmtId="16" fontId="2" fillId="2" borderId="1" xfId="0" quotePrefix="1" applyNumberFormat="1" applyFont="1" applyFill="1" applyBorder="1" applyAlignment="1" applyProtection="1">
      <alignment horizontal="left"/>
    </xf>
    <xf numFmtId="0" fontId="2" fillId="0" borderId="2" xfId="0" applyFont="1" applyFill="1" applyBorder="1" applyAlignment="1" applyProtection="1"/>
    <xf numFmtId="0" fontId="2" fillId="2" borderId="4" xfId="0" applyFont="1" applyFill="1" applyBorder="1" applyAlignment="1" applyProtection="1">
      <alignment horizontal="left"/>
    </xf>
    <xf numFmtId="9" fontId="2" fillId="0" borderId="4" xfId="2" applyFont="1" applyBorder="1" applyAlignment="1" applyProtection="1"/>
    <xf numFmtId="3" fontId="2" fillId="0" borderId="4" xfId="0" applyNumberFormat="1" applyFont="1" applyBorder="1" applyAlignment="1" applyProtection="1"/>
    <xf numFmtId="0" fontId="2" fillId="2" borderId="49" xfId="0" quotePrefix="1" applyFont="1" applyFill="1" applyBorder="1" applyAlignment="1" applyProtection="1">
      <alignment horizontal="left"/>
    </xf>
    <xf numFmtId="0" fontId="2" fillId="2" borderId="49" xfId="0" applyFont="1" applyFill="1" applyBorder="1" applyProtection="1"/>
    <xf numFmtId="3" fontId="2" fillId="0" borderId="49" xfId="0" applyNumberFormat="1" applyFont="1" applyBorder="1" applyAlignment="1" applyProtection="1"/>
    <xf numFmtId="3" fontId="3" fillId="0" borderId="0" xfId="0" applyNumberFormat="1" applyFont="1" applyBorder="1" applyAlignment="1" applyProtection="1"/>
    <xf numFmtId="9" fontId="2" fillId="0" borderId="0" xfId="2" applyFont="1" applyBorder="1" applyAlignment="1" applyProtection="1"/>
    <xf numFmtId="4" fontId="2" fillId="0" borderId="0" xfId="0" applyNumberFormat="1" applyFont="1" applyBorder="1" applyAlignment="1" applyProtection="1"/>
    <xf numFmtId="4" fontId="3" fillId="0" borderId="0" xfId="0" applyNumberFormat="1" applyFont="1" applyBorder="1" applyAlignment="1" applyProtection="1"/>
    <xf numFmtId="3" fontId="2" fillId="0" borderId="73" xfId="0" applyNumberFormat="1" applyFont="1" applyBorder="1" applyAlignment="1" applyProtection="1"/>
    <xf numFmtId="0" fontId="2" fillId="0" borderId="69" xfId="0" applyNumberFormat="1" applyFont="1" applyBorder="1" applyAlignment="1" applyProtection="1"/>
    <xf numFmtId="0" fontId="2" fillId="0" borderId="70" xfId="0" applyNumberFormat="1" applyFont="1" applyBorder="1" applyAlignment="1" applyProtection="1"/>
    <xf numFmtId="0" fontId="2" fillId="2" borderId="41" xfId="0" applyNumberFormat="1" applyFont="1" applyFill="1" applyBorder="1" applyAlignment="1" applyProtection="1">
      <alignment vertical="justify"/>
    </xf>
    <xf numFmtId="0" fontId="2" fillId="2" borderId="2" xfId="0" applyNumberFormat="1" applyFont="1" applyFill="1" applyBorder="1" applyAlignment="1" applyProtection="1">
      <alignment vertical="justify"/>
    </xf>
    <xf numFmtId="0" fontId="2" fillId="2" borderId="19" xfId="0" applyNumberFormat="1" applyFont="1" applyFill="1" applyBorder="1" applyAlignment="1" applyProtection="1">
      <alignment vertical="justify"/>
    </xf>
    <xf numFmtId="0" fontId="2" fillId="2" borderId="61" xfId="0" applyNumberFormat="1" applyFont="1" applyFill="1" applyBorder="1" applyAlignment="1" applyProtection="1"/>
    <xf numFmtId="0" fontId="2" fillId="0" borderId="12" xfId="0" applyNumberFormat="1" applyFont="1" applyBorder="1" applyAlignment="1" applyProtection="1">
      <alignment vertical="top"/>
    </xf>
    <xf numFmtId="0" fontId="23" fillId="9" borderId="0" xfId="0" applyNumberFormat="1" applyFont="1" applyFill="1" applyAlignment="1" applyProtection="1"/>
    <xf numFmtId="0" fontId="2" fillId="0" borderId="78" xfId="0" applyNumberFormat="1" applyFont="1" applyBorder="1" applyAlignment="1" applyProtection="1"/>
    <xf numFmtId="0" fontId="2" fillId="0" borderId="70" xfId="0" applyNumberFormat="1" applyFont="1" applyBorder="1" applyAlignment="1" applyProtection="1">
      <alignment vertical="top"/>
    </xf>
    <xf numFmtId="0" fontId="2" fillId="9" borderId="0" xfId="0" applyNumberFormat="1" applyFont="1" applyFill="1" applyAlignment="1" applyProtection="1"/>
    <xf numFmtId="3" fontId="4" fillId="0" borderId="47" xfId="0" applyNumberFormat="1" applyFont="1" applyFill="1" applyBorder="1" applyAlignment="1" applyProtection="1"/>
    <xf numFmtId="0" fontId="2" fillId="0" borderId="10" xfId="0" applyNumberFormat="1" applyFont="1" applyFill="1" applyBorder="1" applyAlignment="1" applyProtection="1">
      <alignment horizontal="center" wrapText="1"/>
    </xf>
    <xf numFmtId="0" fontId="0" fillId="0" borderId="5" xfId="0" applyBorder="1" applyAlignment="1">
      <alignment horizontal="center"/>
    </xf>
    <xf numFmtId="0" fontId="3" fillId="0" borderId="16" xfId="0" applyNumberFormat="1" applyFont="1" applyBorder="1" applyAlignment="1" applyProtection="1"/>
    <xf numFmtId="0" fontId="4" fillId="9"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9" fontId="2" fillId="0" borderId="49" xfId="2" applyFont="1" applyBorder="1" applyAlignment="1" applyProtection="1"/>
    <xf numFmtId="4" fontId="2" fillId="0" borderId="49" xfId="0" applyNumberFormat="1" applyFont="1" applyBorder="1" applyAlignment="1" applyProtection="1"/>
    <xf numFmtId="0" fontId="2" fillId="2" borderId="49" xfId="0" applyFont="1" applyFill="1" applyBorder="1" applyAlignment="1" applyProtection="1">
      <alignment horizontal="left"/>
    </xf>
    <xf numFmtId="9" fontId="2" fillId="0" borderId="20" xfId="2" applyFont="1" applyBorder="1" applyAlignment="1" applyProtection="1"/>
    <xf numFmtId="9" fontId="2" fillId="9" borderId="1" xfId="2" applyFont="1" applyFill="1" applyBorder="1" applyAlignment="1" applyProtection="1"/>
    <xf numFmtId="3" fontId="2" fillId="9" borderId="49" xfId="0" applyNumberFormat="1" applyFont="1" applyFill="1" applyBorder="1" applyAlignment="1" applyProtection="1"/>
    <xf numFmtId="9" fontId="7" fillId="4" borderId="83" xfId="2" applyFont="1" applyFill="1" applyBorder="1" applyAlignment="1" applyProtection="1"/>
    <xf numFmtId="3" fontId="7" fillId="0" borderId="83" xfId="0" applyNumberFormat="1" applyFont="1" applyFill="1" applyBorder="1" applyAlignment="1" applyProtection="1">
      <alignment horizontal="center"/>
    </xf>
    <xf numFmtId="3" fontId="2" fillId="0" borderId="84" xfId="0" applyNumberFormat="1" applyFont="1" applyFill="1" applyBorder="1" applyAlignment="1" applyProtection="1">
      <alignment horizontal="center"/>
    </xf>
    <xf numFmtId="3" fontId="2" fillId="0" borderId="0" xfId="0" applyNumberFormat="1" applyFont="1" applyFill="1" applyBorder="1" applyAlignment="1" applyProtection="1"/>
    <xf numFmtId="0" fontId="25" fillId="0" borderId="0" xfId="0" applyNumberFormat="1" applyFont="1" applyAlignment="1" applyProtection="1"/>
    <xf numFmtId="0" fontId="2" fillId="8" borderId="1" xfId="0" applyNumberFormat="1" applyFont="1" applyFill="1" applyBorder="1" applyAlignment="1" applyProtection="1"/>
    <xf numFmtId="14" fontId="2" fillId="8" borderId="2" xfId="0" applyNumberFormat="1" applyFont="1" applyFill="1" applyBorder="1" applyAlignment="1" applyProtection="1"/>
    <xf numFmtId="14" fontId="2" fillId="8" borderId="16" xfId="0" applyNumberFormat="1" applyFont="1" applyFill="1" applyBorder="1" applyAlignment="1" applyProtection="1"/>
    <xf numFmtId="169" fontId="2" fillId="8" borderId="20" xfId="0" applyNumberFormat="1" applyFont="1" applyFill="1" applyBorder="1" applyAlignment="1" applyProtection="1">
      <alignment horizontal="left"/>
    </xf>
    <xf numFmtId="0" fontId="2" fillId="8" borderId="16" xfId="0" applyNumberFormat="1" applyFont="1" applyFill="1" applyBorder="1" applyAlignment="1" applyProtection="1">
      <alignment horizontal="right"/>
    </xf>
    <xf numFmtId="0" fontId="27" fillId="8" borderId="1" xfId="0" applyNumberFormat="1" applyFont="1" applyFill="1" applyBorder="1" applyAlignment="1" applyProtection="1"/>
    <xf numFmtId="0" fontId="27" fillId="8" borderId="16" xfId="0" applyNumberFormat="1" applyFont="1" applyFill="1" applyBorder="1" applyAlignment="1" applyProtection="1"/>
    <xf numFmtId="14" fontId="27" fillId="8" borderId="16" xfId="0" applyNumberFormat="1" applyFont="1" applyFill="1" applyBorder="1" applyAlignment="1" applyProtection="1"/>
    <xf numFmtId="14" fontId="27" fillId="8" borderId="2" xfId="0" applyNumberFormat="1" applyFont="1" applyFill="1" applyBorder="1" applyAlignment="1" applyProtection="1"/>
    <xf numFmtId="0" fontId="6" fillId="0" borderId="0" xfId="0" applyNumberFormat="1" applyFont="1" applyAlignment="1" applyProtection="1">
      <alignment vertical="justify"/>
    </xf>
    <xf numFmtId="14" fontId="2" fillId="0" borderId="0" xfId="0" applyNumberFormat="1" applyFont="1" applyAlignment="1" applyProtection="1"/>
    <xf numFmtId="0" fontId="2" fillId="9" borderId="2" xfId="0" applyNumberFormat="1" applyFont="1" applyFill="1" applyBorder="1" applyAlignment="1" applyProtection="1">
      <alignment horizontal="left"/>
    </xf>
    <xf numFmtId="0" fontId="2" fillId="9" borderId="16" xfId="0" applyNumberFormat="1" applyFont="1" applyFill="1" applyBorder="1" applyAlignment="1" applyProtection="1">
      <alignment horizontal="left"/>
    </xf>
    <xf numFmtId="0" fontId="2" fillId="0" borderId="85" xfId="0" applyNumberFormat="1" applyFont="1" applyBorder="1" applyAlignment="1" applyProtection="1"/>
    <xf numFmtId="0" fontId="2" fillId="2" borderId="16" xfId="0" applyNumberFormat="1" applyFont="1" applyFill="1" applyBorder="1" applyAlignment="1" applyProtection="1">
      <alignment horizontal="right"/>
    </xf>
    <xf numFmtId="0" fontId="2" fillId="2" borderId="1" xfId="0" applyNumberFormat="1" applyFont="1" applyFill="1" applyBorder="1" applyAlignment="1" applyProtection="1"/>
    <xf numFmtId="0" fontId="2" fillId="0" borderId="13" xfId="0" applyFont="1" applyFill="1" applyBorder="1" applyAlignment="1" applyProtection="1">
      <alignment horizontal="left"/>
    </xf>
    <xf numFmtId="0" fontId="2" fillId="0" borderId="1" xfId="0" applyFont="1" applyFill="1" applyBorder="1" applyProtection="1"/>
    <xf numFmtId="3" fontId="2" fillId="9" borderId="0" xfId="0" applyNumberFormat="1" applyFont="1" applyFill="1" applyBorder="1" applyAlignment="1" applyProtection="1">
      <protection hidden="1"/>
    </xf>
    <xf numFmtId="3" fontId="3" fillId="9" borderId="0" xfId="0" applyNumberFormat="1" applyFont="1" applyFill="1" applyBorder="1" applyAlignment="1" applyProtection="1">
      <protection hidden="1"/>
    </xf>
    <xf numFmtId="0" fontId="2" fillId="9" borderId="0" xfId="0" applyNumberFormat="1" applyFont="1" applyFill="1" applyBorder="1" applyAlignment="1" applyProtection="1">
      <protection hidden="1"/>
    </xf>
    <xf numFmtId="0" fontId="29" fillId="0" borderId="0" xfId="4" applyFont="1"/>
    <xf numFmtId="0" fontId="29" fillId="0" borderId="0" xfId="4" applyFont="1" applyAlignment="1" applyProtection="1">
      <alignment vertical="top" wrapText="1" shrinkToFit="1" readingOrder="1"/>
      <protection locked="0"/>
    </xf>
    <xf numFmtId="0" fontId="30" fillId="0" borderId="0" xfId="4" applyFont="1" applyAlignment="1" applyProtection="1">
      <alignment vertical="top" wrapText="1" shrinkToFit="1" readingOrder="1"/>
      <protection locked="0"/>
    </xf>
    <xf numFmtId="0" fontId="30" fillId="0" borderId="0" xfId="4" applyFont="1" applyBorder="1" applyAlignment="1" applyProtection="1">
      <alignment vertical="top" wrapText="1" shrinkToFit="1" readingOrder="1"/>
      <protection locked="0"/>
    </xf>
    <xf numFmtId="0" fontId="31" fillId="0" borderId="0" xfId="4" applyFont="1" applyAlignment="1" applyProtection="1">
      <alignment vertical="top" wrapText="1" shrinkToFit="1" readingOrder="1"/>
      <protection locked="0"/>
    </xf>
    <xf numFmtId="0" fontId="10" fillId="0" borderId="16" xfId="3" applyFont="1" applyBorder="1" applyAlignment="1" applyProtection="1">
      <alignment vertical="top" wrapText="1" shrinkToFit="1" readingOrder="1"/>
      <protection locked="0"/>
    </xf>
    <xf numFmtId="0" fontId="10" fillId="0" borderId="21" xfId="3" applyFont="1" applyBorder="1" applyAlignment="1" applyProtection="1">
      <alignment vertical="top" wrapText="1" shrinkToFit="1" readingOrder="1"/>
      <protection locked="0"/>
    </xf>
    <xf numFmtId="0" fontId="10" fillId="0" borderId="0" xfId="3" applyFont="1" applyBorder="1" applyAlignment="1" applyProtection="1">
      <alignment vertical="top" wrapText="1" shrinkToFit="1" readingOrder="1"/>
      <protection locked="0"/>
    </xf>
    <xf numFmtId="0" fontId="10" fillId="0" borderId="0" xfId="3" applyFont="1" applyBorder="1" applyAlignment="1" applyProtection="1">
      <alignment vertical="top" wrapText="1" readingOrder="1"/>
      <protection locked="0"/>
    </xf>
    <xf numFmtId="49" fontId="10" fillId="0" borderId="0" xfId="3" applyNumberFormat="1" applyFont="1" applyBorder="1" applyAlignment="1" applyProtection="1">
      <alignment vertical="top" wrapText="1" shrinkToFit="1" readingOrder="1"/>
      <protection locked="0"/>
    </xf>
    <xf numFmtId="49" fontId="29" fillId="0" borderId="0" xfId="4" applyNumberFormat="1" applyFont="1" applyBorder="1" applyAlignment="1" applyProtection="1">
      <alignment vertical="top" wrapText="1" shrinkToFit="1" readingOrder="1"/>
      <protection locked="0"/>
    </xf>
    <xf numFmtId="0" fontId="17" fillId="0" borderId="16" xfId="3" applyFont="1" applyFill="1" applyBorder="1" applyAlignment="1" applyProtection="1">
      <alignment vertical="top" wrapText="1" shrinkToFit="1" readingOrder="1"/>
      <protection locked="0"/>
    </xf>
    <xf numFmtId="0" fontId="1" fillId="0" borderId="0" xfId="0" applyFont="1" applyFill="1"/>
    <xf numFmtId="0" fontId="17" fillId="0" borderId="2" xfId="4" applyNumberFormat="1" applyFont="1" applyFill="1" applyBorder="1" applyAlignment="1" applyProtection="1">
      <alignment vertical="top" wrapText="1" shrinkToFit="1" readingOrder="1"/>
      <protection locked="0"/>
    </xf>
    <xf numFmtId="0" fontId="17" fillId="0" borderId="16" xfId="4" applyNumberFormat="1" applyFont="1" applyFill="1" applyBorder="1" applyAlignment="1" applyProtection="1">
      <alignment vertical="top" wrapText="1" shrinkToFit="1" readingOrder="1"/>
      <protection locked="0"/>
    </xf>
    <xf numFmtId="49" fontId="17" fillId="0" borderId="2" xfId="4" applyNumberFormat="1" applyFont="1" applyFill="1" applyBorder="1" applyAlignment="1" applyProtection="1">
      <alignment vertical="top" wrapText="1" shrinkToFit="1" readingOrder="1"/>
      <protection locked="0"/>
    </xf>
    <xf numFmtId="49" fontId="29" fillId="0" borderId="0" xfId="4" applyNumberFormat="1" applyFont="1"/>
    <xf numFmtId="49" fontId="32" fillId="0" borderId="0" xfId="4" applyNumberFormat="1" applyFont="1" applyAlignment="1" applyProtection="1">
      <alignment vertical="top" wrapText="1" shrinkToFit="1" readingOrder="1"/>
      <protection locked="0"/>
    </xf>
    <xf numFmtId="49" fontId="29" fillId="0" borderId="0" xfId="4" applyNumberFormat="1" applyFont="1" applyAlignment="1" applyProtection="1">
      <alignment vertical="top" wrapText="1" shrinkToFit="1" readingOrder="1"/>
      <protection locked="0"/>
    </xf>
    <xf numFmtId="49" fontId="30" fillId="0" borderId="0" xfId="4" applyNumberFormat="1" applyFont="1" applyAlignment="1" applyProtection="1">
      <alignment vertical="top" wrapText="1" shrinkToFit="1" readingOrder="1"/>
      <protection locked="0"/>
    </xf>
    <xf numFmtId="49" fontId="30" fillId="0" borderId="0" xfId="4" applyNumberFormat="1" applyFont="1" applyBorder="1" applyAlignment="1" applyProtection="1">
      <alignment vertical="top" wrapText="1" shrinkToFit="1" readingOrder="1"/>
      <protection locked="0"/>
    </xf>
    <xf numFmtId="49" fontId="31" fillId="0" borderId="0" xfId="4" applyNumberFormat="1" applyFont="1" applyAlignment="1" applyProtection="1">
      <alignment vertical="top" wrapText="1" shrinkToFit="1" readingOrder="1"/>
      <protection locked="0"/>
    </xf>
    <xf numFmtId="49" fontId="17" fillId="10" borderId="16" xfId="3" applyNumberFormat="1" applyFont="1" applyFill="1" applyBorder="1" applyAlignment="1" applyProtection="1">
      <alignment vertical="top" wrapText="1" shrinkToFit="1" readingOrder="1"/>
      <protection locked="0"/>
    </xf>
    <xf numFmtId="49" fontId="10" fillId="0" borderId="16" xfId="3" applyNumberFormat="1" applyFont="1" applyBorder="1" applyAlignment="1" applyProtection="1">
      <alignment vertical="top" wrapText="1" shrinkToFit="1" readingOrder="1"/>
      <protection locked="0"/>
    </xf>
    <xf numFmtId="49" fontId="10" fillId="0" borderId="21" xfId="3" applyNumberFormat="1" applyFont="1" applyBorder="1" applyAlignment="1" applyProtection="1">
      <alignment vertical="top" wrapText="1" shrinkToFit="1" readingOrder="1"/>
      <protection locked="0"/>
    </xf>
    <xf numFmtId="49" fontId="2" fillId="0" borderId="34" xfId="4" applyNumberFormat="1" applyFont="1" applyBorder="1" applyAlignment="1" applyProtection="1">
      <alignment vertical="top" wrapText="1" shrinkToFit="1" readingOrder="1"/>
      <protection locked="0"/>
    </xf>
    <xf numFmtId="49" fontId="17" fillId="0" borderId="16" xfId="3" applyNumberFormat="1" applyFont="1" applyFill="1" applyBorder="1" applyAlignment="1" applyProtection="1">
      <alignment vertical="top" wrapText="1" readingOrder="1"/>
      <protection locked="0"/>
    </xf>
    <xf numFmtId="49" fontId="10" fillId="0" borderId="21" xfId="3" applyNumberFormat="1" applyFont="1" applyBorder="1" applyAlignment="1" applyProtection="1">
      <alignment vertical="top" wrapText="1" readingOrder="1"/>
      <protection locked="0"/>
    </xf>
    <xf numFmtId="49" fontId="10" fillId="0" borderId="0" xfId="3" applyNumberFormat="1" applyFont="1" applyBorder="1" applyAlignment="1" applyProtection="1">
      <alignment vertical="top" wrapText="1" readingOrder="1"/>
      <protection locked="0"/>
    </xf>
    <xf numFmtId="49" fontId="10" fillId="0" borderId="16" xfId="3" applyNumberFormat="1" applyFont="1" applyBorder="1" applyAlignment="1" applyProtection="1">
      <alignment vertical="top" wrapText="1" readingOrder="1"/>
      <protection locked="0"/>
    </xf>
    <xf numFmtId="49" fontId="10" fillId="0" borderId="0" xfId="3" applyNumberFormat="1" applyFont="1" applyFill="1" applyBorder="1" applyAlignment="1" applyProtection="1">
      <alignment vertical="top" wrapText="1" readingOrder="1"/>
      <protection locked="0"/>
    </xf>
    <xf numFmtId="49" fontId="17" fillId="0" borderId="16" xfId="3" applyNumberFormat="1" applyFont="1" applyFill="1" applyBorder="1" applyAlignment="1" applyProtection="1">
      <alignment vertical="top" wrapText="1" shrinkToFit="1" readingOrder="1"/>
      <protection locked="0"/>
    </xf>
    <xf numFmtId="49" fontId="17" fillId="10" borderId="2" xfId="4" applyNumberFormat="1" applyFont="1" applyFill="1" applyBorder="1" applyAlignment="1" applyProtection="1">
      <alignment vertical="top" wrapText="1" shrinkToFit="1" readingOrder="1"/>
      <protection locked="0"/>
    </xf>
    <xf numFmtId="49" fontId="1" fillId="0" borderId="0" xfId="0" applyNumberFormat="1" applyFont="1"/>
    <xf numFmtId="49" fontId="1" fillId="11" borderId="0" xfId="0" applyNumberFormat="1" applyFont="1" applyFill="1"/>
    <xf numFmtId="0" fontId="1" fillId="0" borderId="0" xfId="0" applyFont="1" applyBorder="1"/>
    <xf numFmtId="49" fontId="10" fillId="0" borderId="0" xfId="3" applyNumberFormat="1" applyFont="1" applyFill="1" applyBorder="1" applyAlignment="1" applyProtection="1">
      <alignment vertical="top" wrapText="1" shrinkToFit="1" readingOrder="1"/>
      <protection locked="0"/>
    </xf>
    <xf numFmtId="167" fontId="2" fillId="5" borderId="4" xfId="0" applyNumberFormat="1" applyFont="1" applyFill="1" applyBorder="1" applyAlignment="1" applyProtection="1">
      <alignment horizontal="center"/>
    </xf>
    <xf numFmtId="9" fontId="2" fillId="0" borderId="0" xfId="0" applyNumberFormat="1" applyFont="1" applyAlignment="1" applyProtection="1"/>
    <xf numFmtId="0" fontId="2" fillId="0" borderId="0" xfId="0" applyNumberFormat="1" applyFont="1" applyFill="1" applyAlignment="1" applyProtection="1">
      <alignment horizontal="center"/>
    </xf>
    <xf numFmtId="0" fontId="2" fillId="0" borderId="0" xfId="0" applyNumberFormat="1" applyFont="1" applyFill="1" applyBorder="1" applyAlignment="1" applyProtection="1">
      <alignment horizontal="left" vertical="top"/>
    </xf>
    <xf numFmtId="0" fontId="34" fillId="0" borderId="0" xfId="0" applyNumberFormat="1" applyFont="1" applyAlignment="1" applyProtection="1"/>
    <xf numFmtId="0" fontId="23" fillId="7" borderId="0" xfId="0" applyNumberFormat="1" applyFont="1" applyFill="1" applyAlignment="1" applyProtection="1"/>
    <xf numFmtId="0" fontId="2" fillId="0" borderId="52" xfId="0" applyNumberFormat="1" applyFont="1" applyBorder="1" applyAlignment="1" applyProtection="1"/>
    <xf numFmtId="0" fontId="1" fillId="0" borderId="0" xfId="0" applyNumberFormat="1" applyFont="1" applyFill="1" applyAlignment="1" applyProtection="1"/>
    <xf numFmtId="0" fontId="8" fillId="0" borderId="0" xfId="0" applyNumberFormat="1" applyFont="1" applyFill="1" applyAlignment="1" applyProtection="1"/>
    <xf numFmtId="0" fontId="8" fillId="12" borderId="0" xfId="0" applyNumberFormat="1" applyFont="1" applyFill="1" applyAlignment="1" applyProtection="1"/>
    <xf numFmtId="0" fontId="1" fillId="12" borderId="0" xfId="0" applyNumberFormat="1" applyFont="1" applyFill="1" applyAlignment="1" applyProtection="1"/>
    <xf numFmtId="0" fontId="23" fillId="12" borderId="0" xfId="0" applyNumberFormat="1" applyFont="1" applyFill="1" applyAlignment="1" applyProtection="1"/>
    <xf numFmtId="0" fontId="2" fillId="12" borderId="0" xfId="0" applyNumberFormat="1" applyFont="1" applyFill="1" applyAlignment="1" applyProtection="1"/>
    <xf numFmtId="0" fontId="25" fillId="9" borderId="0" xfId="0" applyNumberFormat="1" applyFont="1" applyFill="1" applyBorder="1" applyAlignment="1" applyProtection="1">
      <alignment horizontal="left" vertical="top"/>
    </xf>
    <xf numFmtId="0" fontId="23" fillId="12" borderId="0" xfId="0" applyNumberFormat="1" applyFont="1" applyFill="1" applyBorder="1" applyAlignment="1" applyProtection="1"/>
    <xf numFmtId="0" fontId="0" fillId="0" borderId="0" xfId="0" applyAlignment="1">
      <alignment horizontal="center"/>
    </xf>
    <xf numFmtId="0" fontId="0" fillId="0" borderId="73" xfId="0" applyBorder="1" applyAlignment="1">
      <alignment horizontal="center"/>
    </xf>
    <xf numFmtId="0" fontId="0" fillId="0" borderId="0" xfId="0" applyBorder="1" applyAlignment="1">
      <alignment horizontal="center"/>
    </xf>
    <xf numFmtId="0" fontId="3" fillId="0" borderId="16" xfId="0" applyFont="1" applyBorder="1" applyAlignment="1" applyProtection="1">
      <alignment horizontal="right"/>
    </xf>
    <xf numFmtId="0" fontId="2" fillId="2" borderId="45" xfId="0" applyFont="1" applyFill="1" applyBorder="1" applyProtection="1"/>
    <xf numFmtId="0" fontId="2" fillId="2" borderId="62" xfId="0" applyFont="1" applyFill="1" applyBorder="1" applyProtection="1"/>
    <xf numFmtId="16" fontId="2" fillId="0" borderId="65" xfId="0" quotePrefix="1" applyNumberFormat="1" applyFont="1" applyBorder="1" applyAlignment="1" applyProtection="1"/>
    <xf numFmtId="16" fontId="2" fillId="0" borderId="67" xfId="0" quotePrefix="1" applyNumberFormat="1" applyFont="1" applyBorder="1" applyAlignment="1" applyProtection="1"/>
    <xf numFmtId="0" fontId="3" fillId="0" borderId="43" xfId="0" applyNumberFormat="1" applyFont="1" applyBorder="1" applyAlignment="1" applyProtection="1"/>
    <xf numFmtId="0" fontId="3" fillId="2" borderId="45" xfId="0" applyFont="1" applyFill="1" applyBorder="1" applyProtection="1"/>
    <xf numFmtId="0" fontId="2" fillId="9" borderId="16" xfId="0" applyNumberFormat="1" applyFont="1" applyFill="1" applyBorder="1" applyAlignment="1" applyProtection="1">
      <alignment horizontal="left"/>
    </xf>
    <xf numFmtId="0" fontId="2" fillId="9" borderId="2" xfId="0" applyNumberFormat="1" applyFont="1" applyFill="1" applyBorder="1" applyAlignment="1" applyProtection="1">
      <alignment horizontal="left"/>
    </xf>
    <xf numFmtId="0" fontId="2" fillId="8" borderId="16" xfId="0" applyNumberFormat="1" applyFont="1" applyFill="1" applyBorder="1" applyAlignment="1" applyProtection="1"/>
    <xf numFmtId="0" fontId="3" fillId="0" borderId="16" xfId="0" applyNumberFormat="1" applyFont="1" applyFill="1" applyBorder="1" applyAlignment="1" applyProtection="1"/>
    <xf numFmtId="0" fontId="3" fillId="0" borderId="79" xfId="0" applyNumberFormat="1" applyFont="1" applyFill="1" applyBorder="1" applyAlignment="1" applyProtection="1"/>
    <xf numFmtId="0" fontId="5" fillId="0" borderId="89" xfId="0" applyFont="1" applyBorder="1" applyProtection="1"/>
    <xf numFmtId="0" fontId="5" fillId="0" borderId="16" xfId="0" applyFont="1" applyBorder="1" applyProtection="1"/>
    <xf numFmtId="0" fontId="3" fillId="0" borderId="41" xfId="0" applyNumberFormat="1" applyFont="1" applyFill="1" applyBorder="1" applyAlignment="1" applyProtection="1">
      <alignment horizontal="right"/>
    </xf>
    <xf numFmtId="0" fontId="2" fillId="0" borderId="2" xfId="0" applyNumberFormat="1" applyFont="1" applyFill="1" applyBorder="1" applyAlignment="1" applyProtection="1">
      <alignment horizontal="right"/>
    </xf>
    <xf numFmtId="0" fontId="2" fillId="0" borderId="32" xfId="0" applyNumberFormat="1" applyFont="1" applyFill="1" applyBorder="1" applyAlignment="1" applyProtection="1"/>
    <xf numFmtId="0" fontId="2" fillId="0" borderId="34" xfId="0" applyNumberFormat="1" applyFont="1" applyFill="1" applyBorder="1" applyAlignment="1" applyProtection="1"/>
    <xf numFmtId="3" fontId="2" fillId="4" borderId="5" xfId="0" applyNumberFormat="1" applyFont="1" applyFill="1" applyBorder="1" applyAlignment="1" applyProtection="1"/>
    <xf numFmtId="3" fontId="2" fillId="4" borderId="74" xfId="0" applyNumberFormat="1" applyFont="1" applyFill="1" applyBorder="1" applyAlignment="1" applyProtection="1"/>
    <xf numFmtId="0" fontId="2" fillId="0" borderId="16" xfId="0" applyNumberFormat="1" applyFont="1" applyFill="1" applyBorder="1" applyAlignment="1" applyProtection="1">
      <alignment horizontal="right"/>
    </xf>
    <xf numFmtId="0" fontId="2" fillId="8" borderId="13" xfId="0" applyNumberFormat="1" applyFont="1" applyFill="1" applyBorder="1" applyAlignment="1" applyProtection="1"/>
    <xf numFmtId="0" fontId="2" fillId="8" borderId="2" xfId="0" applyNumberFormat="1" applyFont="1" applyFill="1" applyBorder="1" applyAlignment="1" applyProtection="1"/>
    <xf numFmtId="171" fontId="2" fillId="0" borderId="0" xfId="1" applyNumberFormat="1" applyFont="1" applyBorder="1" applyAlignment="1" applyProtection="1"/>
    <xf numFmtId="171" fontId="2" fillId="0" borderId="7" xfId="1" applyNumberFormat="1" applyFont="1" applyFill="1" applyBorder="1" applyAlignment="1" applyProtection="1"/>
    <xf numFmtId="171" fontId="2" fillId="0" borderId="1" xfId="1" applyNumberFormat="1" applyFont="1" applyFill="1" applyBorder="1" applyAlignment="1" applyProtection="1"/>
    <xf numFmtId="9" fontId="2" fillId="8" borderId="8" xfId="2" applyFont="1" applyFill="1" applyBorder="1" applyAlignment="1" applyProtection="1"/>
    <xf numFmtId="171" fontId="2" fillId="0" borderId="47" xfId="1" applyNumberFormat="1" applyFont="1" applyBorder="1" applyAlignment="1" applyProtection="1"/>
    <xf numFmtId="171" fontId="2" fillId="0" borderId="8" xfId="1" applyNumberFormat="1" applyFont="1" applyFill="1" applyBorder="1" applyAlignment="1" applyProtection="1"/>
    <xf numFmtId="3" fontId="4" fillId="0" borderId="1" xfId="0" applyNumberFormat="1" applyFont="1" applyFill="1" applyBorder="1" applyAlignment="1" applyProtection="1"/>
    <xf numFmtId="3" fontId="4" fillId="0" borderId="20" xfId="0" applyNumberFormat="1" applyFont="1" applyFill="1" applyBorder="1" applyAlignment="1" applyProtection="1"/>
    <xf numFmtId="3" fontId="4" fillId="0" borderId="42" xfId="0" applyNumberFormat="1" applyFont="1" applyFill="1" applyBorder="1" applyAlignment="1" applyProtection="1"/>
    <xf numFmtId="3" fontId="4" fillId="0" borderId="5" xfId="0" applyNumberFormat="1" applyFont="1" applyFill="1" applyBorder="1" applyAlignment="1" applyProtection="1"/>
    <xf numFmtId="3" fontId="4" fillId="0" borderId="56" xfId="0" applyNumberFormat="1" applyFont="1" applyFill="1" applyBorder="1" applyAlignment="1" applyProtection="1"/>
    <xf numFmtId="3" fontId="4" fillId="0" borderId="49" xfId="0" applyNumberFormat="1" applyFont="1" applyFill="1" applyBorder="1" applyAlignment="1" applyProtection="1"/>
    <xf numFmtId="3" fontId="2" fillId="4" borderId="3" xfId="0" applyNumberFormat="1" applyFont="1" applyFill="1" applyBorder="1" applyAlignment="1" applyProtection="1"/>
    <xf numFmtId="0" fontId="2" fillId="2" borderId="59" xfId="0" applyFont="1" applyFill="1" applyBorder="1" applyProtection="1"/>
    <xf numFmtId="0" fontId="2" fillId="2" borderId="42" xfId="0" applyNumberFormat="1" applyFont="1" applyFill="1" applyBorder="1" applyAlignment="1" applyProtection="1"/>
    <xf numFmtId="0" fontId="2" fillId="2" borderId="52" xfId="0" applyNumberFormat="1" applyFont="1" applyFill="1" applyBorder="1" applyAlignment="1" applyProtection="1"/>
    <xf numFmtId="3" fontId="2" fillId="4" borderId="60" xfId="0" applyNumberFormat="1" applyFont="1" applyFill="1" applyBorder="1" applyAlignment="1" applyProtection="1"/>
    <xf numFmtId="0" fontId="2" fillId="2" borderId="43" xfId="0" applyNumberFormat="1" applyFont="1" applyFill="1" applyBorder="1" applyAlignment="1" applyProtection="1"/>
    <xf numFmtId="3" fontId="2" fillId="4" borderId="95" xfId="0" applyNumberFormat="1" applyFont="1" applyFill="1" applyBorder="1" applyAlignment="1" applyProtection="1"/>
    <xf numFmtId="0" fontId="20" fillId="0" borderId="51" xfId="0" applyFont="1" applyBorder="1"/>
    <xf numFmtId="0" fontId="20" fillId="0" borderId="53" xfId="0" applyFont="1" applyBorder="1"/>
    <xf numFmtId="3" fontId="2" fillId="9" borderId="3" xfId="0" applyNumberFormat="1" applyFont="1" applyFill="1" applyBorder="1" applyAlignment="1" applyProtection="1"/>
    <xf numFmtId="3" fontId="2" fillId="9" borderId="60" xfId="0" applyNumberFormat="1" applyFont="1" applyFill="1" applyBorder="1" applyAlignment="1" applyProtection="1"/>
    <xf numFmtId="0" fontId="0" fillId="0" borderId="0" xfId="0" applyBorder="1" applyAlignment="1">
      <alignment horizontal="right"/>
    </xf>
    <xf numFmtId="0" fontId="2" fillId="2" borderId="21" xfId="0" applyNumberFormat="1" applyFont="1" applyFill="1" applyBorder="1" applyAlignment="1" applyProtection="1">
      <alignment horizontal="right"/>
    </xf>
    <xf numFmtId="3" fontId="2" fillId="4" borderId="61" xfId="0" applyNumberFormat="1" applyFont="1" applyFill="1" applyBorder="1" applyAlignment="1" applyProtection="1"/>
    <xf numFmtId="3" fontId="2" fillId="9" borderId="73" xfId="0" applyNumberFormat="1" applyFont="1" applyFill="1" applyBorder="1" applyAlignment="1" applyProtection="1"/>
    <xf numFmtId="3" fontId="2" fillId="4" borderId="73" xfId="0" applyNumberFormat="1" applyFont="1" applyFill="1" applyBorder="1" applyAlignment="1" applyProtection="1"/>
    <xf numFmtId="0" fontId="1" fillId="0" borderId="47" xfId="0" applyFont="1" applyBorder="1" applyAlignment="1">
      <alignment horizontal="right"/>
    </xf>
    <xf numFmtId="0" fontId="3" fillId="0" borderId="0" xfId="0" applyNumberFormat="1" applyFont="1" applyFill="1" applyBorder="1" applyAlignment="1" applyProtection="1"/>
    <xf numFmtId="3" fontId="2" fillId="0" borderId="34" xfId="0" applyNumberFormat="1" applyFont="1" applyFill="1" applyBorder="1" applyAlignment="1" applyProtection="1"/>
    <xf numFmtId="0" fontId="3" fillId="0" borderId="20" xfId="0" applyFont="1" applyBorder="1" applyAlignment="1" applyProtection="1">
      <alignment horizontal="right"/>
    </xf>
    <xf numFmtId="0" fontId="2" fillId="2" borderId="98" xfId="0" applyFont="1" applyFill="1" applyBorder="1" applyProtection="1"/>
    <xf numFmtId="0" fontId="2" fillId="2" borderId="92" xfId="0" applyFont="1" applyFill="1" applyBorder="1" applyProtection="1"/>
    <xf numFmtId="0" fontId="2" fillId="2" borderId="78" xfId="0" applyFont="1" applyFill="1" applyBorder="1" applyProtection="1"/>
    <xf numFmtId="0" fontId="2" fillId="2" borderId="99" xfId="0" applyFont="1" applyFill="1" applyBorder="1" applyProtection="1"/>
    <xf numFmtId="0" fontId="2" fillId="2" borderId="91" xfId="0" applyFont="1" applyFill="1" applyBorder="1" applyProtection="1"/>
    <xf numFmtId="0" fontId="2" fillId="0" borderId="91" xfId="0" applyNumberFormat="1" applyFont="1" applyBorder="1" applyAlignment="1" applyProtection="1"/>
    <xf numFmtId="0" fontId="2" fillId="0" borderId="91" xfId="0" applyNumberFormat="1" applyFont="1" applyBorder="1" applyAlignment="1" applyProtection="1">
      <alignment horizontal="center"/>
    </xf>
    <xf numFmtId="0" fontId="2" fillId="0" borderId="93" xfId="0" applyNumberFormat="1" applyFont="1" applyBorder="1" applyAlignment="1" applyProtection="1">
      <alignment horizontal="center"/>
    </xf>
    <xf numFmtId="0" fontId="2" fillId="2" borderId="90" xfId="0" applyFont="1" applyFill="1" applyBorder="1" applyProtection="1"/>
    <xf numFmtId="0" fontId="2" fillId="2" borderId="34" xfId="0" applyFont="1" applyFill="1" applyBorder="1" applyProtection="1"/>
    <xf numFmtId="0" fontId="2" fillId="0" borderId="5" xfId="0" applyNumberFormat="1" applyFont="1" applyBorder="1" applyAlignment="1" applyProtection="1">
      <alignment horizontal="center"/>
    </xf>
    <xf numFmtId="0" fontId="2" fillId="0" borderId="86" xfId="0" applyNumberFormat="1" applyFont="1" applyBorder="1" applyAlignment="1" applyProtection="1">
      <alignment horizontal="center"/>
    </xf>
    <xf numFmtId="0" fontId="3" fillId="0" borderId="2" xfId="0" applyNumberFormat="1" applyFont="1" applyFill="1" applyBorder="1" applyAlignment="1" applyProtection="1"/>
    <xf numFmtId="0" fontId="3" fillId="0" borderId="20" xfId="0" applyNumberFormat="1" applyFont="1" applyFill="1" applyBorder="1" applyAlignment="1" applyProtection="1"/>
    <xf numFmtId="3" fontId="3" fillId="0" borderId="1" xfId="0" applyNumberFormat="1" applyFont="1" applyFill="1" applyBorder="1" applyAlignment="1" applyProtection="1">
      <alignment horizontal="left"/>
    </xf>
    <xf numFmtId="3" fontId="3" fillId="0" borderId="83" xfId="0" applyNumberFormat="1" applyFont="1" applyFill="1" applyBorder="1" applyAlignment="1" applyProtection="1">
      <alignment horizontal="left"/>
    </xf>
    <xf numFmtId="0" fontId="17" fillId="0" borderId="0" xfId="0" applyFont="1" applyFill="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xf numFmtId="0" fontId="2" fillId="0" borderId="0" xfId="0" applyNumberFormat="1" applyFont="1" applyFill="1" applyBorder="1" applyAlignment="1" applyProtection="1">
      <alignment horizontal="center"/>
    </xf>
    <xf numFmtId="0" fontId="2" fillId="0" borderId="0" xfId="0" applyFont="1" applyFill="1" applyProtection="1"/>
    <xf numFmtId="0" fontId="2" fillId="0" borderId="0" xfId="0" applyNumberFormat="1" applyFont="1" applyFill="1" applyAlignment="1" applyProtection="1">
      <alignment horizontal="right"/>
    </xf>
    <xf numFmtId="3" fontId="2" fillId="0" borderId="0" xfId="0" applyNumberFormat="1" applyFont="1" applyFill="1" applyAlignment="1" applyProtection="1"/>
    <xf numFmtId="0" fontId="2" fillId="0" borderId="0" xfId="0" applyFont="1" applyFill="1" applyAlignment="1" applyProtection="1">
      <alignment horizontal="right"/>
    </xf>
    <xf numFmtId="0" fontId="3" fillId="0" borderId="30" xfId="0" applyNumberFormat="1" applyFont="1" applyFill="1" applyBorder="1" applyAlignment="1" applyProtection="1"/>
    <xf numFmtId="0" fontId="3" fillId="0" borderId="31" xfId="0" applyNumberFormat="1" applyFont="1" applyFill="1" applyBorder="1" applyAlignment="1" applyProtection="1"/>
    <xf numFmtId="3" fontId="3" fillId="0" borderId="32" xfId="0" applyNumberFormat="1" applyFont="1" applyFill="1" applyBorder="1" applyAlignment="1" applyProtection="1">
      <alignment horizontal="left"/>
    </xf>
    <xf numFmtId="3" fontId="3" fillId="0" borderId="84" xfId="0" applyNumberFormat="1" applyFont="1" applyFill="1" applyBorder="1" applyAlignment="1" applyProtection="1">
      <alignment horizontal="left"/>
    </xf>
    <xf numFmtId="0" fontId="3" fillId="0" borderId="1" xfId="0" applyFont="1" applyBorder="1" applyAlignment="1" applyProtection="1">
      <alignment horizontal="right"/>
    </xf>
    <xf numFmtId="0" fontId="3" fillId="0" borderId="83" xfId="0" applyFont="1" applyBorder="1" applyAlignment="1" applyProtection="1">
      <alignment horizontal="right"/>
    </xf>
    <xf numFmtId="0" fontId="10" fillId="0" borderId="0" xfId="0" applyNumberFormat="1" applyFont="1" applyFill="1" applyAlignment="1" applyProtection="1">
      <alignment horizontal="left" vertical="top"/>
    </xf>
    <xf numFmtId="0" fontId="21" fillId="0" borderId="88" xfId="0" applyFont="1" applyFill="1" applyBorder="1" applyAlignment="1" applyProtection="1">
      <alignment horizontal="left"/>
    </xf>
    <xf numFmtId="0" fontId="17" fillId="0" borderId="38" xfId="0" applyNumberFormat="1" applyFont="1" applyFill="1" applyBorder="1" applyAlignment="1" applyProtection="1"/>
    <xf numFmtId="0" fontId="17" fillId="0" borderId="38" xfId="0" applyFont="1" applyFill="1" applyBorder="1" applyProtection="1"/>
    <xf numFmtId="0" fontId="2" fillId="0" borderId="0" xfId="0" applyNumberFormat="1" applyFont="1" applyBorder="1" applyAlignment="1" applyProtection="1">
      <alignment horizontal="center"/>
    </xf>
    <xf numFmtId="0" fontId="28"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49" fontId="17" fillId="10" borderId="0" xfId="3" applyNumberFormat="1" applyFont="1" applyFill="1" applyBorder="1" applyAlignment="1" applyProtection="1">
      <alignment vertical="top" wrapText="1" shrinkToFit="1" readingOrder="1"/>
      <protection locked="0"/>
    </xf>
    <xf numFmtId="49" fontId="29" fillId="0" borderId="0" xfId="4" applyNumberFormat="1" applyFont="1" applyBorder="1"/>
    <xf numFmtId="0" fontId="29" fillId="0" borderId="0" xfId="4" applyFont="1" applyBorder="1"/>
    <xf numFmtId="49" fontId="1" fillId="11" borderId="0" xfId="0" applyNumberFormat="1" applyFont="1" applyFill="1" applyBorder="1"/>
    <xf numFmtId="49" fontId="17" fillId="0" borderId="0" xfId="4" applyNumberFormat="1" applyFont="1" applyFill="1" applyBorder="1" applyAlignment="1" applyProtection="1">
      <alignment vertical="top" wrapText="1" shrinkToFit="1" readingOrder="1"/>
      <protection locked="0"/>
    </xf>
    <xf numFmtId="0" fontId="17" fillId="0" borderId="0" xfId="4" applyNumberFormat="1" applyFont="1" applyFill="1" applyBorder="1" applyAlignment="1" applyProtection="1">
      <alignment vertical="top" wrapText="1" shrinkToFit="1" readingOrder="1"/>
      <protection locked="0"/>
    </xf>
    <xf numFmtId="0" fontId="1" fillId="9" borderId="0" xfId="0" applyFont="1" applyFill="1" applyBorder="1" applyProtection="1">
      <protection hidden="1"/>
    </xf>
    <xf numFmtId="49" fontId="2" fillId="0" borderId="0" xfId="4" applyNumberFormat="1" applyFont="1" applyBorder="1" applyAlignment="1" applyProtection="1">
      <alignment vertical="top" wrapText="1" shrinkToFit="1" readingOrder="1"/>
      <protection locked="0"/>
    </xf>
    <xf numFmtId="0" fontId="29" fillId="0" borderId="0" xfId="4" applyFont="1" applyBorder="1" applyAlignment="1" applyProtection="1">
      <alignment vertical="top" wrapText="1" shrinkToFit="1" readingOrder="1"/>
      <protection locked="0"/>
    </xf>
    <xf numFmtId="0" fontId="1" fillId="11" borderId="0" xfId="0" applyFont="1" applyFill="1" applyBorder="1"/>
    <xf numFmtId="49" fontId="17" fillId="0" borderId="0" xfId="3" applyNumberFormat="1" applyFont="1" applyFill="1" applyBorder="1" applyAlignment="1" applyProtection="1">
      <alignment vertical="top" wrapText="1" readingOrder="1"/>
      <protection locked="0"/>
    </xf>
    <xf numFmtId="0" fontId="1" fillId="0" borderId="0" xfId="0" applyFont="1" applyFill="1" applyBorder="1"/>
    <xf numFmtId="0" fontId="33" fillId="0" borderId="0" xfId="0" applyFont="1" applyBorder="1"/>
    <xf numFmtId="49" fontId="17" fillId="0" borderId="0" xfId="3" applyNumberFormat="1" applyFont="1" applyFill="1" applyBorder="1" applyAlignment="1" applyProtection="1">
      <alignment vertical="top" wrapText="1" shrinkToFit="1" readingOrder="1"/>
      <protection locked="0"/>
    </xf>
    <xf numFmtId="49" fontId="17" fillId="10" borderId="0" xfId="4" applyNumberFormat="1" applyFont="1" applyFill="1" applyBorder="1" applyAlignment="1" applyProtection="1">
      <alignment vertical="top" wrapText="1" shrinkToFit="1" readingOrder="1"/>
      <protection locked="0"/>
    </xf>
    <xf numFmtId="0" fontId="17" fillId="0" borderId="0" xfId="3" applyFont="1" applyFill="1" applyBorder="1" applyAlignment="1" applyProtection="1">
      <alignment vertical="top" wrapText="1" shrinkToFit="1" readingOrder="1"/>
      <protection locked="0"/>
    </xf>
    <xf numFmtId="49" fontId="1" fillId="0" borderId="0" xfId="0" applyNumberFormat="1" applyFont="1" applyFill="1" applyBorder="1"/>
    <xf numFmtId="49" fontId="29" fillId="0" borderId="0" xfId="4" applyNumberFormat="1" applyFont="1" applyFill="1" applyBorder="1"/>
    <xf numFmtId="0" fontId="29" fillId="0" borderId="0" xfId="4" applyFont="1" applyFill="1" applyBorder="1"/>
    <xf numFmtId="0" fontId="10" fillId="0" borderId="0" xfId="3" applyFont="1" applyFill="1" applyBorder="1" applyAlignment="1" applyProtection="1">
      <alignment vertical="top" wrapText="1" shrinkToFit="1" readingOrder="1"/>
      <protection locked="0"/>
    </xf>
    <xf numFmtId="0" fontId="29" fillId="0" borderId="0" xfId="4" applyFont="1" applyFill="1" applyBorder="1" applyAlignment="1" applyProtection="1">
      <alignment vertical="top" wrapText="1" shrinkToFit="1" readingOrder="1"/>
      <protection locked="0"/>
    </xf>
    <xf numFmtId="0" fontId="1" fillId="0" borderId="0" xfId="0" applyFont="1" applyFill="1" applyBorder="1" applyAlignment="1">
      <alignment wrapText="1" readingOrder="1"/>
    </xf>
    <xf numFmtId="49" fontId="1" fillId="0" borderId="0" xfId="0" applyNumberFormat="1" applyFont="1" applyFill="1" applyBorder="1" applyAlignment="1">
      <alignment wrapText="1" readingOrder="1"/>
    </xf>
    <xf numFmtId="0" fontId="2" fillId="0" borderId="20" xfId="0" applyNumberFormat="1" applyFont="1" applyFill="1" applyBorder="1" applyAlignment="1" applyProtection="1">
      <alignment horizontal="center"/>
    </xf>
    <xf numFmtId="0" fontId="2" fillId="0" borderId="18" xfId="0" applyNumberFormat="1" applyFont="1" applyBorder="1" applyAlignment="1" applyProtection="1"/>
    <xf numFmtId="0" fontId="2" fillId="0" borderId="3" xfId="0" applyNumberFormat="1" applyFont="1" applyBorder="1" applyAlignment="1" applyProtection="1"/>
    <xf numFmtId="0" fontId="2" fillId="0" borderId="41" xfId="0" applyNumberFormat="1" applyFont="1" applyBorder="1" applyAlignment="1" applyProtection="1">
      <alignment vertical="top"/>
    </xf>
    <xf numFmtId="0" fontId="2" fillId="0" borderId="2" xfId="0" applyNumberFormat="1" applyFont="1" applyBorder="1" applyAlignment="1" applyProtection="1">
      <alignment vertical="top"/>
    </xf>
    <xf numFmtId="0" fontId="2" fillId="0" borderId="19" xfId="0" applyNumberFormat="1" applyFont="1" applyBorder="1" applyAlignment="1" applyProtection="1">
      <alignment vertical="top"/>
    </xf>
    <xf numFmtId="0" fontId="2" fillId="0" borderId="46" xfId="0" applyNumberFormat="1" applyFont="1" applyFill="1" applyBorder="1" applyAlignment="1" applyProtection="1">
      <alignment horizontal="left"/>
      <protection locked="0"/>
    </xf>
    <xf numFmtId="0" fontId="2" fillId="0" borderId="95" xfId="0" applyNumberFormat="1" applyFont="1" applyFill="1" applyBorder="1" applyAlignment="1" applyProtection="1">
      <alignment horizontal="left"/>
      <protection locked="0"/>
    </xf>
    <xf numFmtId="3" fontId="21" fillId="0" borderId="103" xfId="0" applyNumberFormat="1" applyFont="1" applyFill="1" applyBorder="1" applyAlignment="1" applyProtection="1">
      <alignment horizontal="center" wrapText="1"/>
    </xf>
    <xf numFmtId="9" fontId="2" fillId="0" borderId="104" xfId="2" applyFont="1" applyBorder="1" applyAlignment="1" applyProtection="1"/>
    <xf numFmtId="9" fontId="2" fillId="0" borderId="109" xfId="2" applyFont="1" applyBorder="1" applyAlignment="1" applyProtection="1"/>
    <xf numFmtId="0" fontId="28" fillId="3" borderId="0" xfId="0" applyNumberFormat="1" applyFont="1" applyFill="1" applyBorder="1" applyAlignment="1" applyProtection="1">
      <alignment horizontal="justify" vertical="top"/>
      <protection locked="0"/>
    </xf>
    <xf numFmtId="0" fontId="28" fillId="0" borderId="0" xfId="0" applyNumberFormat="1" applyFont="1" applyFill="1" applyBorder="1" applyAlignment="1" applyProtection="1">
      <alignment horizontal="justify" vertical="top"/>
      <protection locked="0"/>
    </xf>
    <xf numFmtId="0" fontId="2" fillId="0" borderId="57" xfId="0" applyNumberFormat="1" applyFont="1" applyBorder="1" applyAlignment="1" applyProtection="1">
      <alignment vertical="center"/>
    </xf>
    <xf numFmtId="3" fontId="2" fillId="0" borderId="20" xfId="0" applyNumberFormat="1" applyFont="1" applyFill="1" applyBorder="1" applyAlignment="1" applyProtection="1">
      <alignment horizontal="center"/>
    </xf>
    <xf numFmtId="0" fontId="2" fillId="0" borderId="0" xfId="0" applyNumberFormat="1" applyFont="1" applyFill="1" applyBorder="1" applyAlignment="1" applyProtection="1">
      <alignment horizontal="right" vertical="top"/>
    </xf>
    <xf numFmtId="0" fontId="28" fillId="0" borderId="0" xfId="0" applyNumberFormat="1" applyFont="1" applyFill="1" applyBorder="1" applyAlignment="1" applyProtection="1">
      <alignment vertical="top"/>
      <protection locked="0"/>
    </xf>
    <xf numFmtId="0" fontId="24" fillId="9" borderId="0" xfId="0" applyNumberFormat="1" applyFont="1" applyFill="1" applyBorder="1" applyAlignment="1" applyProtection="1">
      <alignment horizontal="left" vertical="center"/>
    </xf>
    <xf numFmtId="0" fontId="24" fillId="9" borderId="0" xfId="0" applyNumberFormat="1" applyFont="1" applyFill="1" applyBorder="1" applyAlignment="1" applyProtection="1"/>
    <xf numFmtId="0" fontId="2" fillId="0" borderId="13" xfId="0" applyFont="1" applyBorder="1" applyAlignment="1" applyProtection="1">
      <alignment vertical="center"/>
    </xf>
    <xf numFmtId="0" fontId="2" fillId="0" borderId="1" xfId="0" applyNumberFormat="1" applyFont="1" applyBorder="1" applyAlignment="1" applyProtection="1">
      <alignment horizontal="center" vertical="center"/>
    </xf>
    <xf numFmtId="3" fontId="2" fillId="3" borderId="1" xfId="0" applyNumberFormat="1" applyFont="1" applyFill="1" applyBorder="1" applyAlignment="1" applyProtection="1">
      <alignment vertical="center"/>
      <protection locked="0"/>
    </xf>
    <xf numFmtId="3" fontId="2" fillId="3" borderId="7" xfId="0" applyNumberFormat="1" applyFont="1" applyFill="1" applyBorder="1" applyAlignment="1" applyProtection="1">
      <alignment vertical="center"/>
      <protection locked="0"/>
    </xf>
    <xf numFmtId="0" fontId="2" fillId="3" borderId="1" xfId="0" applyNumberFormat="1" applyFont="1" applyFill="1" applyBorder="1" applyAlignment="1" applyProtection="1">
      <alignment horizontal="center" vertical="center"/>
      <protection locked="0"/>
    </xf>
    <xf numFmtId="0" fontId="17" fillId="0" borderId="7" xfId="0" applyFont="1" applyBorder="1" applyAlignment="1" applyProtection="1"/>
    <xf numFmtId="3" fontId="4" fillId="0" borderId="8" xfId="0" applyNumberFormat="1" applyFont="1" applyFill="1" applyBorder="1" applyAlignment="1" applyProtection="1">
      <protection locked="0"/>
    </xf>
    <xf numFmtId="3" fontId="19" fillId="0" borderId="9" xfId="0" applyNumberFormat="1" applyFont="1" applyFill="1" applyBorder="1" applyAlignment="1" applyProtection="1">
      <protection locked="0"/>
    </xf>
    <xf numFmtId="0" fontId="2" fillId="0" borderId="0"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2" fillId="0" borderId="21" xfId="0" applyNumberFormat="1" applyFont="1" applyFill="1" applyBorder="1" applyAlignment="1" applyProtection="1">
      <alignment horizontal="right"/>
    </xf>
    <xf numFmtId="0" fontId="2" fillId="0" borderId="34" xfId="0" applyNumberFormat="1" applyFont="1" applyFill="1" applyBorder="1" applyAlignment="1" applyProtection="1">
      <alignment horizontal="right"/>
    </xf>
    <xf numFmtId="0" fontId="2" fillId="0" borderId="0" xfId="0" applyNumberFormat="1" applyFont="1" applyFill="1" applyBorder="1" applyAlignment="1" applyProtection="1">
      <alignment horizontal="right"/>
    </xf>
    <xf numFmtId="3" fontId="2" fillId="0" borderId="21" xfId="0" applyNumberFormat="1" applyFont="1" applyFill="1" applyBorder="1" applyAlignment="1" applyProtection="1"/>
    <xf numFmtId="0" fontId="2" fillId="0" borderId="3" xfId="0" applyNumberFormat="1" applyFont="1" applyFill="1" applyBorder="1" applyAlignment="1" applyProtection="1">
      <alignment horizontal="right"/>
    </xf>
    <xf numFmtId="0" fontId="2" fillId="2" borderId="0" xfId="0" applyNumberFormat="1" applyFont="1" applyFill="1" applyBorder="1" applyAlignment="1" applyProtection="1">
      <alignment horizontal="right"/>
    </xf>
    <xf numFmtId="3" fontId="7" fillId="0" borderId="0" xfId="0" applyNumberFormat="1" applyFont="1" applyFill="1" applyBorder="1" applyAlignment="1" applyProtection="1"/>
    <xf numFmtId="3" fontId="7" fillId="0" borderId="0" xfId="0" applyNumberFormat="1" applyFont="1" applyFill="1" applyBorder="1" applyAlignment="1" applyProtection="1">
      <alignment horizontal="center"/>
    </xf>
    <xf numFmtId="9" fontId="7" fillId="0" borderId="16" xfId="2" applyFont="1" applyFill="1" applyBorder="1" applyAlignment="1" applyProtection="1"/>
    <xf numFmtId="9" fontId="7" fillId="0" borderId="21" xfId="2" applyFont="1" applyFill="1" applyBorder="1" applyAlignment="1" applyProtection="1"/>
    <xf numFmtId="9" fontId="7" fillId="0" borderId="114" xfId="2" applyFont="1" applyFill="1" applyBorder="1" applyAlignment="1" applyProtection="1"/>
    <xf numFmtId="9" fontId="7" fillId="0" borderId="0" xfId="2" applyFont="1" applyFill="1" applyBorder="1" applyAlignment="1" applyProtection="1"/>
    <xf numFmtId="3" fontId="2" fillId="0" borderId="111" xfId="0" applyNumberFormat="1" applyFont="1" applyFill="1" applyBorder="1" applyAlignment="1" applyProtection="1"/>
    <xf numFmtId="3" fontId="7" fillId="0" borderId="111" xfId="0" applyNumberFormat="1" applyFont="1" applyFill="1" applyBorder="1" applyAlignment="1" applyProtection="1"/>
    <xf numFmtId="9" fontId="7" fillId="0" borderId="111" xfId="2" applyFont="1" applyFill="1" applyBorder="1" applyAlignment="1" applyProtection="1"/>
    <xf numFmtId="9" fontId="7" fillId="0" borderId="112" xfId="2" applyFont="1" applyFill="1" applyBorder="1" applyAlignment="1" applyProtection="1"/>
    <xf numFmtId="0" fontId="2" fillId="0" borderId="111" xfId="0" applyNumberFormat="1" applyFont="1" applyBorder="1" applyAlignment="1" applyProtection="1"/>
    <xf numFmtId="9" fontId="7" fillId="0" borderId="113" xfId="2" applyFont="1" applyFill="1" applyBorder="1" applyAlignment="1" applyProtection="1"/>
    <xf numFmtId="3" fontId="2" fillId="0" borderId="113" xfId="0" applyNumberFormat="1" applyFont="1" applyFill="1" applyBorder="1" applyAlignment="1" applyProtection="1"/>
    <xf numFmtId="3" fontId="7" fillId="0" borderId="113" xfId="0" applyNumberFormat="1" applyFont="1" applyFill="1" applyBorder="1" applyAlignment="1" applyProtection="1"/>
    <xf numFmtId="0" fontId="2" fillId="0" borderId="113" xfId="0" applyNumberFormat="1" applyFont="1" applyBorder="1" applyAlignment="1" applyProtection="1"/>
    <xf numFmtId="3" fontId="7" fillId="0" borderId="113" xfId="0" applyNumberFormat="1" applyFont="1" applyFill="1" applyBorder="1" applyAlignment="1" applyProtection="1">
      <alignment horizontal="center"/>
    </xf>
    <xf numFmtId="3" fontId="2" fillId="0" borderId="114" xfId="0" applyNumberFormat="1" applyFont="1" applyFill="1" applyBorder="1" applyAlignment="1" applyProtection="1"/>
    <xf numFmtId="0" fontId="2" fillId="0" borderId="114" xfId="0" applyNumberFormat="1" applyFont="1" applyFill="1" applyBorder="1" applyAlignment="1" applyProtection="1"/>
    <xf numFmtId="0" fontId="2" fillId="0" borderId="113" xfId="0" applyNumberFormat="1" applyFont="1" applyFill="1" applyBorder="1" applyAlignment="1" applyProtection="1"/>
    <xf numFmtId="9" fontId="7" fillId="0" borderId="116" xfId="2" applyFont="1" applyFill="1" applyBorder="1" applyAlignment="1" applyProtection="1"/>
    <xf numFmtId="3" fontId="2" fillId="0" borderId="116" xfId="0" applyNumberFormat="1" applyFont="1" applyFill="1" applyBorder="1" applyAlignment="1" applyProtection="1"/>
    <xf numFmtId="0" fontId="2" fillId="0" borderId="116" xfId="0" applyNumberFormat="1" applyFont="1" applyBorder="1" applyAlignment="1" applyProtection="1"/>
    <xf numFmtId="0" fontId="2" fillId="0" borderId="116" xfId="0" applyNumberFormat="1" applyFont="1" applyBorder="1" applyAlignment="1" applyProtection="1">
      <alignment horizontal="center"/>
    </xf>
    <xf numFmtId="0" fontId="3" fillId="0" borderId="0" xfId="0" applyNumberFormat="1" applyFont="1" applyFill="1" applyBorder="1" applyAlignment="1" applyProtection="1">
      <alignment horizontal="right"/>
    </xf>
    <xf numFmtId="0" fontId="3" fillId="0" borderId="113" xfId="0" applyNumberFormat="1" applyFont="1" applyFill="1" applyBorder="1" applyAlignment="1" applyProtection="1"/>
    <xf numFmtId="3" fontId="7" fillId="0" borderId="113" xfId="0" applyNumberFormat="1" applyFont="1" applyFill="1" applyBorder="1" applyAlignment="1" applyProtection="1">
      <alignment horizontal="left"/>
    </xf>
    <xf numFmtId="0" fontId="2" fillId="0" borderId="113" xfId="0" applyNumberFormat="1" applyFont="1" applyFill="1" applyBorder="1" applyAlignment="1" applyProtection="1">
      <alignment horizontal="left"/>
    </xf>
    <xf numFmtId="9" fontId="7" fillId="0" borderId="42" xfId="2" applyFont="1" applyFill="1" applyBorder="1" applyAlignment="1" applyProtection="1">
      <alignment horizontal="left"/>
    </xf>
    <xf numFmtId="0" fontId="2" fillId="0" borderId="41" xfId="0" applyNumberFormat="1" applyFont="1" applyFill="1" applyBorder="1" applyAlignment="1" applyProtection="1">
      <alignment horizontal="left"/>
    </xf>
    <xf numFmtId="9" fontId="7" fillId="0" borderId="21" xfId="2" applyFont="1" applyFill="1" applyBorder="1" applyAlignment="1" applyProtection="1">
      <alignment horizontal="left"/>
    </xf>
    <xf numFmtId="0" fontId="2" fillId="0" borderId="21" xfId="0" applyNumberFormat="1" applyFont="1" applyFill="1" applyBorder="1" applyAlignment="1" applyProtection="1">
      <alignment horizontal="left"/>
    </xf>
    <xf numFmtId="3" fontId="2" fillId="0" borderId="115" xfId="0" applyNumberFormat="1" applyFont="1" applyFill="1" applyBorder="1" applyAlignment="1" applyProtection="1"/>
    <xf numFmtId="3" fontId="2" fillId="0" borderId="16" xfId="0" applyNumberFormat="1" applyFont="1" applyFill="1" applyBorder="1" applyAlignment="1" applyProtection="1"/>
    <xf numFmtId="9" fontId="7" fillId="0" borderId="115" xfId="2" applyFont="1" applyFill="1" applyBorder="1" applyAlignment="1" applyProtection="1"/>
    <xf numFmtId="0" fontId="2" fillId="0" borderId="120" xfId="0" applyNumberFormat="1" applyFont="1" applyFill="1" applyBorder="1" applyAlignment="1" applyProtection="1"/>
    <xf numFmtId="0" fontId="2" fillId="0" borderId="118" xfId="0" applyNumberFormat="1" applyFont="1" applyFill="1" applyBorder="1" applyAlignment="1" applyProtection="1">
      <alignment horizontal="right"/>
    </xf>
    <xf numFmtId="0" fontId="3" fillId="0" borderId="118" xfId="0" applyNumberFormat="1" applyFont="1" applyFill="1" applyBorder="1" applyAlignment="1" applyProtection="1">
      <alignment horizontal="right"/>
    </xf>
    <xf numFmtId="3" fontId="2" fillId="0" borderId="118" xfId="0" applyNumberFormat="1" applyFont="1" applyFill="1" applyBorder="1" applyAlignment="1" applyProtection="1"/>
    <xf numFmtId="9" fontId="7" fillId="0" borderId="118" xfId="2" applyFont="1" applyFill="1" applyBorder="1" applyAlignment="1" applyProtection="1">
      <alignment horizontal="left"/>
    </xf>
    <xf numFmtId="0" fontId="2" fillId="0" borderId="118" xfId="0" applyNumberFormat="1" applyFont="1" applyBorder="1" applyAlignment="1" applyProtection="1">
      <alignment horizontal="left"/>
    </xf>
    <xf numFmtId="9" fontId="7" fillId="0" borderId="118" xfId="2" applyFont="1" applyFill="1" applyBorder="1" applyAlignment="1" applyProtection="1"/>
    <xf numFmtId="0" fontId="3" fillId="0" borderId="118" xfId="0" applyNumberFormat="1" applyFont="1" applyFill="1" applyBorder="1" applyAlignment="1" applyProtection="1"/>
    <xf numFmtId="0" fontId="2" fillId="0" borderId="118" xfId="0" applyNumberFormat="1" applyFont="1" applyFill="1" applyBorder="1" applyAlignment="1" applyProtection="1"/>
    <xf numFmtId="3" fontId="7" fillId="0" borderId="118" xfId="0" applyNumberFormat="1" applyFont="1" applyFill="1" applyBorder="1" applyAlignment="1" applyProtection="1"/>
    <xf numFmtId="0" fontId="2" fillId="0" borderId="118" xfId="0" applyNumberFormat="1" applyFont="1" applyBorder="1" applyAlignment="1" applyProtection="1"/>
    <xf numFmtId="3" fontId="7" fillId="0" borderId="118" xfId="0" applyNumberFormat="1" applyFont="1" applyFill="1" applyBorder="1" applyAlignment="1" applyProtection="1">
      <alignment horizontal="center"/>
    </xf>
    <xf numFmtId="3" fontId="2" fillId="0" borderId="117" xfId="0" applyNumberFormat="1" applyFont="1" applyFill="1" applyBorder="1" applyAlignment="1" applyProtection="1"/>
    <xf numFmtId="9" fontId="7" fillId="0" borderId="117" xfId="2" applyFont="1" applyFill="1" applyBorder="1" applyAlignment="1" applyProtection="1"/>
    <xf numFmtId="0" fontId="2" fillId="2" borderId="116" xfId="0" applyNumberFormat="1" applyFont="1" applyFill="1" applyBorder="1" applyAlignment="1" applyProtection="1"/>
    <xf numFmtId="0" fontId="2" fillId="2" borderId="116" xfId="0" applyNumberFormat="1" applyFont="1" applyFill="1" applyBorder="1" applyAlignment="1" applyProtection="1">
      <alignment horizontal="right"/>
    </xf>
    <xf numFmtId="9" fontId="2" fillId="0" borderId="121" xfId="2" applyNumberFormat="1" applyFont="1" applyFill="1" applyBorder="1" applyAlignment="1" applyProtection="1">
      <alignment horizontal="right"/>
    </xf>
    <xf numFmtId="9" fontId="2" fillId="0" borderId="114" xfId="2" applyNumberFormat="1" applyFont="1" applyFill="1" applyBorder="1" applyAlignment="1" applyProtection="1">
      <alignment horizontal="right"/>
    </xf>
    <xf numFmtId="3" fontId="2" fillId="0" borderId="121" xfId="0" applyNumberFormat="1" applyFont="1" applyFill="1" applyBorder="1" applyAlignment="1" applyProtection="1">
      <alignment horizontal="right"/>
    </xf>
    <xf numFmtId="3" fontId="2" fillId="0" borderId="114" xfId="0" applyNumberFormat="1" applyFont="1" applyFill="1" applyBorder="1" applyAlignment="1" applyProtection="1">
      <alignment horizontal="right"/>
    </xf>
    <xf numFmtId="0" fontId="2" fillId="0" borderId="114" xfId="0" applyNumberFormat="1" applyFont="1" applyFill="1" applyBorder="1" applyAlignment="1" applyProtection="1">
      <alignment horizontal="left"/>
    </xf>
    <xf numFmtId="16" fontId="2" fillId="0" borderId="78" xfId="0" quotePrefix="1" applyNumberFormat="1" applyFont="1" applyFill="1" applyBorder="1" applyAlignment="1" applyProtection="1"/>
    <xf numFmtId="0" fontId="3" fillId="0" borderId="78" xfId="0" applyNumberFormat="1" applyFont="1" applyFill="1" applyBorder="1" applyAlignment="1" applyProtection="1"/>
    <xf numFmtId="9" fontId="2" fillId="0" borderId="78" xfId="2" applyFont="1" applyFill="1" applyBorder="1" applyAlignment="1" applyProtection="1">
      <alignment horizontal="left"/>
    </xf>
    <xf numFmtId="3" fontId="2" fillId="0" borderId="78" xfId="0" applyNumberFormat="1" applyFont="1" applyFill="1" applyBorder="1" applyAlignment="1" applyProtection="1">
      <alignment horizontal="left"/>
    </xf>
    <xf numFmtId="0" fontId="2" fillId="0" borderId="78" xfId="0" applyNumberFormat="1" applyFont="1" applyFill="1" applyBorder="1" applyAlignment="1" applyProtection="1"/>
    <xf numFmtId="16" fontId="2" fillId="0" borderId="0" xfId="0" quotePrefix="1" applyNumberFormat="1" applyFont="1" applyFill="1" applyBorder="1" applyAlignment="1" applyProtection="1">
      <alignment horizontal="left"/>
    </xf>
    <xf numFmtId="0" fontId="2" fillId="0" borderId="0" xfId="0" applyFont="1" applyFill="1" applyBorder="1" applyProtection="1"/>
    <xf numFmtId="0" fontId="2" fillId="0" borderId="0" xfId="0" applyFont="1" applyFill="1" applyBorder="1" applyAlignment="1" applyProtection="1">
      <alignment horizontal="left"/>
    </xf>
    <xf numFmtId="0" fontId="2" fillId="0" borderId="78" xfId="0" applyNumberFormat="1" applyFont="1" applyBorder="1" applyAlignment="1" applyProtection="1">
      <alignment horizontal="left"/>
    </xf>
    <xf numFmtId="0" fontId="2" fillId="0" borderId="116" xfId="0" applyNumberFormat="1" applyFont="1" applyFill="1" applyBorder="1" applyAlignment="1" applyProtection="1"/>
    <xf numFmtId="0" fontId="2" fillId="0" borderId="116" xfId="0" applyNumberFormat="1" applyFont="1" applyFill="1" applyBorder="1" applyAlignment="1" applyProtection="1">
      <alignment horizontal="right"/>
    </xf>
    <xf numFmtId="0" fontId="2" fillId="2" borderId="118" xfId="0" applyNumberFormat="1" applyFont="1" applyFill="1" applyBorder="1" applyAlignment="1" applyProtection="1">
      <alignment horizontal="right"/>
    </xf>
    <xf numFmtId="0" fontId="3" fillId="0" borderId="119" xfId="0" applyNumberFormat="1" applyFont="1" applyFill="1" applyBorder="1" applyAlignment="1" applyProtection="1"/>
    <xf numFmtId="0" fontId="2" fillId="2" borderId="118" xfId="0" applyNumberFormat="1" applyFont="1" applyFill="1" applyBorder="1" applyAlignment="1" applyProtection="1"/>
    <xf numFmtId="16" fontId="2" fillId="0" borderId="0" xfId="0" quotePrefix="1" applyNumberFormat="1" applyFont="1" applyFill="1" applyBorder="1" applyAlignment="1" applyProtection="1"/>
    <xf numFmtId="3" fontId="3" fillId="0" borderId="0" xfId="0" applyNumberFormat="1" applyFont="1" applyFill="1" applyBorder="1" applyAlignment="1" applyProtection="1">
      <alignment horizontal="left"/>
    </xf>
    <xf numFmtId="9" fontId="4" fillId="0" borderId="0" xfId="2" applyNumberFormat="1" applyFont="1" applyFill="1" applyBorder="1" applyAlignment="1" applyProtection="1">
      <alignment horizontal="left"/>
    </xf>
    <xf numFmtId="3" fontId="2" fillId="0" borderId="113" xfId="0" applyNumberFormat="1" applyFont="1" applyFill="1" applyBorder="1" applyAlignment="1" applyProtection="1">
      <alignment horizontal="right"/>
    </xf>
    <xf numFmtId="9" fontId="2" fillId="0" borderId="113" xfId="2" applyNumberFormat="1" applyFont="1" applyFill="1" applyBorder="1" applyAlignment="1" applyProtection="1">
      <alignment horizontal="right"/>
    </xf>
    <xf numFmtId="0" fontId="2" fillId="2" borderId="113" xfId="0" applyFont="1" applyFill="1" applyBorder="1" applyAlignment="1" applyProtection="1">
      <alignment horizontal="left"/>
    </xf>
    <xf numFmtId="0" fontId="2" fillId="2" borderId="113" xfId="0" applyFont="1" applyFill="1" applyBorder="1" applyProtection="1"/>
    <xf numFmtId="0" fontId="2" fillId="0" borderId="113" xfId="0" applyNumberFormat="1" applyFont="1" applyBorder="1" applyAlignment="1" applyProtection="1">
      <alignment horizontal="right"/>
    </xf>
    <xf numFmtId="0" fontId="2" fillId="0" borderId="113" xfId="0" applyNumberFormat="1" applyFont="1" applyBorder="1" applyAlignment="1" applyProtection="1">
      <alignment horizontal="center"/>
    </xf>
    <xf numFmtId="0" fontId="3" fillId="0" borderId="118" xfId="0" applyNumberFormat="1" applyFont="1" applyBorder="1" applyAlignment="1" applyProtection="1">
      <alignment horizontal="left"/>
    </xf>
    <xf numFmtId="0" fontId="3" fillId="0" borderId="118" xfId="0" applyNumberFormat="1" applyFont="1" applyBorder="1" applyAlignment="1" applyProtection="1"/>
    <xf numFmtId="0" fontId="2" fillId="0" borderId="118" xfId="0" applyNumberFormat="1" applyFont="1" applyBorder="1" applyAlignment="1" applyProtection="1">
      <alignment horizontal="center"/>
    </xf>
    <xf numFmtId="0" fontId="2" fillId="0" borderId="113" xfId="0" quotePrefix="1" applyNumberFormat="1" applyFont="1" applyBorder="1" applyAlignment="1" applyProtection="1">
      <alignment horizontal="left"/>
    </xf>
    <xf numFmtId="16" fontId="2" fillId="0" borderId="113" xfId="0" quotePrefix="1" applyNumberFormat="1" applyFont="1" applyBorder="1" applyAlignment="1" applyProtection="1">
      <alignment horizontal="left"/>
    </xf>
    <xf numFmtId="0" fontId="2" fillId="0" borderId="122" xfId="0" applyNumberFormat="1" applyFont="1" applyBorder="1" applyAlignment="1" applyProtection="1">
      <alignment horizontal="left"/>
    </xf>
    <xf numFmtId="0" fontId="2" fillId="0" borderId="123" xfId="0" applyNumberFormat="1" applyFont="1" applyFill="1" applyBorder="1" applyAlignment="1" applyProtection="1">
      <alignment horizontal="left"/>
    </xf>
    <xf numFmtId="0" fontId="2" fillId="0" borderId="124" xfId="0" applyNumberFormat="1" applyFont="1" applyFill="1" applyBorder="1" applyAlignment="1" applyProtection="1">
      <alignment horizontal="left"/>
    </xf>
    <xf numFmtId="0" fontId="2" fillId="0" borderId="126" xfId="0" applyNumberFormat="1" applyFont="1" applyFill="1" applyBorder="1" applyAlignment="1" applyProtection="1">
      <alignment horizontal="left"/>
    </xf>
    <xf numFmtId="0" fontId="2" fillId="0" borderId="0" xfId="0" applyNumberFormat="1" applyFont="1" applyFill="1" applyAlignment="1" applyProtection="1">
      <alignment horizontal="left"/>
    </xf>
    <xf numFmtId="0" fontId="2"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vertical="top"/>
    </xf>
    <xf numFmtId="0" fontId="10" fillId="0" borderId="0" xfId="0" applyNumberFormat="1" applyFont="1" applyAlignment="1" applyProtection="1">
      <alignment horizontal="left" vertical="top"/>
    </xf>
    <xf numFmtId="0" fontId="2" fillId="0" borderId="0" xfId="0" applyNumberFormat="1" applyFont="1" applyFill="1" applyBorder="1" applyAlignment="1" applyProtection="1">
      <alignment horizontal="center" vertical="top"/>
    </xf>
    <xf numFmtId="0" fontId="5" fillId="0" borderId="0" xfId="0" applyFont="1" applyFill="1" applyBorder="1" applyProtection="1"/>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right"/>
    </xf>
    <xf numFmtId="0" fontId="2" fillId="0" borderId="0" xfId="0" applyNumberFormat="1" applyFont="1" applyFill="1" applyBorder="1" applyAlignment="1" applyProtection="1">
      <alignment horizontal="left" vertical="center"/>
    </xf>
    <xf numFmtId="0" fontId="17" fillId="0" borderId="0" xfId="0" applyFont="1" applyFill="1" applyBorder="1" applyAlignment="1" applyProtection="1">
      <alignment horizontal="right"/>
    </xf>
    <xf numFmtId="167"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quotePrefix="1" applyFont="1" applyFill="1" applyBorder="1" applyAlignment="1" applyProtection="1">
      <alignment horizontal="center"/>
    </xf>
    <xf numFmtId="0" fontId="2" fillId="0" borderId="0" xfId="0" quotePrefix="1" applyFont="1" applyFill="1" applyBorder="1" applyAlignment="1" applyProtection="1">
      <alignment horizontal="left"/>
    </xf>
    <xf numFmtId="168" fontId="2" fillId="0" borderId="0" xfId="0" applyNumberFormat="1" applyFont="1" applyFill="1" applyBorder="1" applyAlignment="1" applyProtection="1"/>
    <xf numFmtId="0" fontId="23" fillId="0" borderId="0" xfId="0" applyNumberFormat="1" applyFont="1" applyFill="1" applyBorder="1" applyAlignment="1" applyProtection="1">
      <alignment horizontal="left" vertical="top"/>
    </xf>
    <xf numFmtId="16" fontId="23" fillId="0" borderId="0" xfId="0" quotePrefix="1" applyNumberFormat="1" applyFont="1" applyFill="1" applyBorder="1" applyAlignment="1" applyProtection="1">
      <alignment horizontal="left"/>
    </xf>
    <xf numFmtId="0" fontId="23" fillId="0" borderId="0" xfId="0" applyFont="1" applyFill="1" applyBorder="1" applyProtection="1"/>
    <xf numFmtId="0" fontId="23" fillId="0" borderId="0" xfId="0" applyNumberFormat="1" applyFont="1" applyFill="1" applyBorder="1" applyAlignment="1" applyProtection="1"/>
    <xf numFmtId="9" fontId="10" fillId="0" borderId="0" xfId="2" applyFont="1" applyFill="1" applyBorder="1" applyAlignment="1" applyProtection="1">
      <alignment horizontal="center"/>
    </xf>
    <xf numFmtId="3" fontId="3" fillId="0" borderId="0" xfId="0" applyNumberFormat="1" applyFont="1" applyFill="1" applyBorder="1" applyAlignment="1" applyProtection="1">
      <alignment horizontal="right"/>
    </xf>
    <xf numFmtId="9" fontId="3" fillId="0" borderId="0" xfId="2" applyFont="1" applyFill="1" applyBorder="1" applyAlignment="1" applyProtection="1">
      <alignment horizontal="right"/>
    </xf>
    <xf numFmtId="0" fontId="10"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left"/>
    </xf>
    <xf numFmtId="0" fontId="17" fillId="0" borderId="0" xfId="0" applyFont="1" applyFill="1" applyBorder="1" applyProtection="1"/>
    <xf numFmtId="0" fontId="10"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0" fontId="11" fillId="0" borderId="0" xfId="0" applyFont="1" applyFill="1" applyBorder="1" applyAlignment="1" applyProtection="1">
      <alignment horizontal="right" wrapText="1"/>
    </xf>
    <xf numFmtId="0" fontId="2" fillId="0" borderId="113" xfId="0" applyFont="1" applyFill="1" applyBorder="1" applyProtection="1"/>
    <xf numFmtId="0" fontId="2" fillId="0" borderId="113" xfId="0" applyNumberFormat="1" applyFont="1" applyFill="1" applyBorder="1" applyAlignment="1" applyProtection="1">
      <alignment horizontal="center"/>
    </xf>
    <xf numFmtId="0" fontId="2" fillId="0" borderId="118" xfId="0" applyFont="1" applyFill="1" applyBorder="1" applyAlignment="1" applyProtection="1">
      <alignment horizontal="center"/>
    </xf>
    <xf numFmtId="0" fontId="2" fillId="0" borderId="118" xfId="0" applyFont="1" applyFill="1" applyBorder="1" applyAlignment="1" applyProtection="1">
      <alignment horizontal="left"/>
    </xf>
    <xf numFmtId="9" fontId="2" fillId="0" borderId="118" xfId="2" applyFont="1" applyFill="1" applyBorder="1" applyAlignment="1" applyProtection="1">
      <alignment horizontal="center"/>
    </xf>
    <xf numFmtId="0" fontId="2" fillId="0" borderId="118" xfId="0" applyFont="1" applyFill="1" applyBorder="1" applyAlignment="1" applyProtection="1"/>
    <xf numFmtId="168" fontId="2" fillId="0" borderId="118" xfId="0" applyNumberFormat="1" applyFont="1" applyFill="1" applyBorder="1" applyAlignment="1" applyProtection="1"/>
    <xf numFmtId="0" fontId="2" fillId="0" borderId="117" xfId="0" applyNumberFormat="1" applyFont="1" applyFill="1" applyBorder="1" applyAlignment="1" applyProtection="1"/>
    <xf numFmtId="3" fontId="2" fillId="0" borderId="117" xfId="0" applyNumberFormat="1" applyFont="1" applyFill="1" applyBorder="1" applyAlignment="1" applyProtection="1">
      <alignment horizontal="left"/>
    </xf>
    <xf numFmtId="9" fontId="2" fillId="0" borderId="117" xfId="2" applyFont="1" applyFill="1" applyBorder="1" applyAlignment="1" applyProtection="1">
      <alignment horizontal="left"/>
    </xf>
    <xf numFmtId="9" fontId="2" fillId="0" borderId="117" xfId="2" applyFont="1" applyFill="1" applyBorder="1" applyAlignment="1" applyProtection="1">
      <alignment horizontal="center"/>
    </xf>
    <xf numFmtId="0" fontId="2" fillId="0" borderId="113" xfId="0" applyFont="1" applyFill="1" applyBorder="1" applyAlignment="1" applyProtection="1">
      <alignment horizontal="left"/>
    </xf>
    <xf numFmtId="3" fontId="2" fillId="0" borderId="113" xfId="0" applyNumberFormat="1" applyFont="1" applyFill="1" applyBorder="1" applyAlignment="1" applyProtection="1">
      <alignment horizontal="left"/>
    </xf>
    <xf numFmtId="9" fontId="2" fillId="0" borderId="113" xfId="2" applyFont="1" applyFill="1" applyBorder="1" applyAlignment="1" applyProtection="1">
      <alignment horizontal="center"/>
    </xf>
    <xf numFmtId="0" fontId="3" fillId="0" borderId="117" xfId="0" applyNumberFormat="1" applyFont="1" applyFill="1" applyBorder="1" applyAlignment="1" applyProtection="1"/>
    <xf numFmtId="3" fontId="2" fillId="0" borderId="114" xfId="0" applyNumberFormat="1" applyFont="1" applyFill="1" applyBorder="1" applyAlignment="1" applyProtection="1">
      <alignment horizontal="left"/>
    </xf>
    <xf numFmtId="9" fontId="2" fillId="0" borderId="114" xfId="2" applyFont="1" applyFill="1" applyBorder="1" applyAlignment="1" applyProtection="1">
      <alignment horizontal="center"/>
    </xf>
    <xf numFmtId="0" fontId="23" fillId="0" borderId="114" xfId="0" applyNumberFormat="1" applyFont="1" applyFill="1" applyBorder="1" applyAlignment="1" applyProtection="1"/>
    <xf numFmtId="3" fontId="23" fillId="0" borderId="114" xfId="0" applyNumberFormat="1" applyFont="1" applyFill="1" applyBorder="1" applyAlignment="1" applyProtection="1">
      <alignment horizontal="left"/>
    </xf>
    <xf numFmtId="9" fontId="23" fillId="0" borderId="114" xfId="2" applyFont="1" applyFill="1" applyBorder="1" applyAlignment="1" applyProtection="1">
      <alignment horizontal="center"/>
    </xf>
    <xf numFmtId="9" fontId="10" fillId="0" borderId="114" xfId="2" applyFont="1" applyFill="1" applyBorder="1" applyAlignment="1" applyProtection="1">
      <alignment horizontal="center"/>
    </xf>
    <xf numFmtId="9" fontId="10" fillId="0" borderId="113" xfId="2" applyFont="1" applyFill="1" applyBorder="1" applyAlignment="1" applyProtection="1">
      <alignment horizontal="center"/>
    </xf>
    <xf numFmtId="3" fontId="3" fillId="0" borderId="113" xfId="0" applyNumberFormat="1" applyFont="1" applyFill="1" applyBorder="1" applyAlignment="1" applyProtection="1">
      <alignment horizontal="right"/>
    </xf>
    <xf numFmtId="9" fontId="3" fillId="0" borderId="113" xfId="2" applyFont="1" applyFill="1" applyBorder="1" applyAlignment="1" applyProtection="1">
      <alignment horizontal="right"/>
    </xf>
    <xf numFmtId="3" fontId="3" fillId="0" borderId="114" xfId="0" applyNumberFormat="1" applyFont="1" applyFill="1" applyBorder="1" applyAlignment="1" applyProtection="1">
      <alignment horizontal="right"/>
    </xf>
    <xf numFmtId="9" fontId="3" fillId="0" borderId="114" xfId="2" applyFont="1" applyFill="1" applyBorder="1" applyAlignment="1" applyProtection="1">
      <alignment horizontal="right"/>
    </xf>
    <xf numFmtId="3" fontId="35" fillId="0" borderId="114" xfId="0" applyNumberFormat="1" applyFont="1" applyFill="1" applyBorder="1" applyAlignment="1" applyProtection="1">
      <alignment horizontal="right"/>
    </xf>
    <xf numFmtId="9" fontId="35" fillId="0" borderId="114" xfId="2" applyFont="1" applyFill="1" applyBorder="1" applyAlignment="1" applyProtection="1">
      <alignment horizontal="right"/>
    </xf>
    <xf numFmtId="0" fontId="3" fillId="0" borderId="114" xfId="0" applyFont="1" applyFill="1" applyBorder="1" applyAlignment="1" applyProtection="1">
      <alignment horizontal="right"/>
    </xf>
    <xf numFmtId="0" fontId="3" fillId="0" borderId="113" xfId="0" applyFont="1" applyFill="1" applyBorder="1" applyAlignment="1" applyProtection="1">
      <alignment horizontal="right"/>
    </xf>
    <xf numFmtId="3" fontId="3" fillId="0" borderId="114" xfId="0" applyNumberFormat="1" applyFont="1" applyFill="1" applyBorder="1" applyAlignment="1" applyProtection="1">
      <alignment horizontal="left"/>
    </xf>
    <xf numFmtId="0" fontId="2" fillId="0" borderId="113" xfId="0" applyNumberFormat="1" applyFont="1" applyFill="1" applyBorder="1" applyAlignment="1" applyProtection="1">
      <alignment horizontal="center" vertical="top"/>
    </xf>
    <xf numFmtId="0" fontId="2" fillId="0" borderId="114" xfId="0" applyNumberFormat="1" applyFont="1" applyFill="1" applyBorder="1" applyAlignment="1" applyProtection="1">
      <alignment horizontal="center" vertical="top"/>
    </xf>
    <xf numFmtId="0" fontId="23" fillId="0" borderId="0" xfId="0" applyFont="1" applyFill="1" applyBorder="1" applyAlignment="1" applyProtection="1">
      <alignment horizontal="left"/>
    </xf>
    <xf numFmtId="0" fontId="11" fillId="0" borderId="0" xfId="0" applyFont="1" applyFill="1" applyBorder="1" applyAlignment="1" applyProtection="1">
      <alignment horizontal="left" wrapText="1"/>
    </xf>
    <xf numFmtId="0" fontId="2" fillId="14" borderId="118" xfId="0" applyFont="1" applyFill="1" applyBorder="1" applyAlignment="1" applyProtection="1">
      <alignment horizontal="left"/>
    </xf>
    <xf numFmtId="0" fontId="2" fillId="14" borderId="118" xfId="0" applyFont="1" applyFill="1" applyBorder="1" applyProtection="1"/>
    <xf numFmtId="0" fontId="2" fillId="14" borderId="118" xfId="0" applyNumberFormat="1" applyFont="1" applyFill="1" applyBorder="1" applyAlignment="1" applyProtection="1"/>
    <xf numFmtId="3" fontId="2" fillId="14" borderId="118" xfId="0" applyNumberFormat="1" applyFont="1" applyFill="1" applyBorder="1" applyAlignment="1" applyProtection="1">
      <alignment horizontal="left"/>
    </xf>
    <xf numFmtId="9" fontId="2" fillId="14" borderId="118" xfId="2" applyFont="1" applyFill="1" applyBorder="1" applyAlignment="1" applyProtection="1">
      <alignment horizontal="center"/>
    </xf>
    <xf numFmtId="0" fontId="5" fillId="14" borderId="128" xfId="0" applyFont="1" applyFill="1" applyBorder="1" applyProtection="1"/>
    <xf numFmtId="3" fontId="3" fillId="14" borderId="128" xfId="0" applyNumberFormat="1" applyFont="1" applyFill="1" applyBorder="1" applyAlignment="1" applyProtection="1"/>
    <xf numFmtId="0" fontId="3" fillId="14" borderId="128" xfId="0" applyFont="1" applyFill="1" applyBorder="1" applyAlignment="1" applyProtection="1"/>
    <xf numFmtId="0" fontId="3" fillId="14" borderId="128" xfId="0" applyFont="1" applyFill="1" applyBorder="1" applyProtection="1"/>
    <xf numFmtId="0" fontId="5" fillId="0" borderId="113" xfId="0" applyFont="1" applyFill="1" applyBorder="1" applyProtection="1"/>
    <xf numFmtId="0" fontId="3" fillId="14" borderId="114" xfId="0" applyFont="1" applyFill="1" applyBorder="1" applyProtection="1"/>
    <xf numFmtId="0" fontId="5" fillId="14" borderId="114" xfId="0" applyFont="1" applyFill="1" applyBorder="1" applyProtection="1"/>
    <xf numFmtId="0" fontId="3" fillId="14" borderId="114" xfId="0" applyFont="1" applyFill="1" applyBorder="1" applyAlignment="1" applyProtection="1"/>
    <xf numFmtId="3" fontId="3" fillId="14" borderId="114" xfId="0" applyNumberFormat="1" applyFont="1" applyFill="1" applyBorder="1" applyAlignment="1" applyProtection="1"/>
    <xf numFmtId="0" fontId="3" fillId="0" borderId="0" xfId="0" applyFont="1" applyFill="1" applyBorder="1" applyAlignment="1" applyProtection="1">
      <alignment horizontal="left"/>
    </xf>
    <xf numFmtId="0" fontId="3" fillId="0" borderId="113" xfId="0" applyNumberFormat="1" applyFont="1" applyFill="1" applyBorder="1" applyAlignment="1" applyProtection="1">
      <alignment horizontal="left"/>
    </xf>
    <xf numFmtId="167" fontId="2" fillId="0" borderId="118" xfId="0" applyNumberFormat="1" applyFont="1" applyFill="1" applyBorder="1" applyAlignment="1" applyProtection="1">
      <alignment horizontal="left"/>
    </xf>
    <xf numFmtId="9" fontId="2" fillId="0" borderId="118" xfId="0" applyNumberFormat="1" applyFont="1" applyFill="1" applyBorder="1" applyAlignment="1" applyProtection="1">
      <alignment horizontal="left"/>
    </xf>
    <xf numFmtId="0" fontId="2" fillId="0" borderId="118" xfId="0" applyNumberFormat="1" applyFont="1" applyFill="1" applyBorder="1" applyAlignment="1" applyProtection="1">
      <alignment horizontal="left"/>
    </xf>
    <xf numFmtId="0" fontId="10" fillId="0" borderId="118" xfId="0" applyNumberFormat="1" applyFont="1" applyFill="1" applyBorder="1" applyAlignment="1" applyProtection="1">
      <alignment horizontal="right"/>
    </xf>
    <xf numFmtId="0" fontId="3" fillId="0" borderId="118" xfId="0" applyFont="1" applyFill="1" applyBorder="1" applyAlignment="1" applyProtection="1">
      <alignment horizontal="left"/>
    </xf>
    <xf numFmtId="0" fontId="2" fillId="0" borderId="117" xfId="0" applyNumberFormat="1" applyFont="1" applyFill="1" applyBorder="1" applyAlignment="1" applyProtection="1">
      <alignment horizontal="center"/>
    </xf>
    <xf numFmtId="0" fontId="2" fillId="0" borderId="118" xfId="0" applyNumberFormat="1" applyFont="1" applyFill="1" applyBorder="1" applyAlignment="1" applyProtection="1">
      <alignment horizontal="center" vertical="top"/>
    </xf>
    <xf numFmtId="0" fontId="3" fillId="0" borderId="118" xfId="0" applyNumberFormat="1" applyFont="1" applyFill="1" applyBorder="1" applyAlignment="1" applyProtection="1">
      <alignment horizontal="left"/>
    </xf>
    <xf numFmtId="0" fontId="2" fillId="0" borderId="111" xfId="0" applyNumberFormat="1" applyFont="1" applyFill="1" applyBorder="1" applyAlignment="1" applyProtection="1">
      <alignment horizontal="center" vertical="top"/>
    </xf>
    <xf numFmtId="0" fontId="2" fillId="0" borderId="115" xfId="0" applyNumberFormat="1" applyFont="1" applyFill="1" applyBorder="1" applyAlignment="1" applyProtection="1">
      <alignment horizontal="center" vertical="top"/>
    </xf>
    <xf numFmtId="0" fontId="2" fillId="0" borderId="116" xfId="0" applyFont="1" applyFill="1" applyBorder="1" applyProtection="1"/>
    <xf numFmtId="0" fontId="2" fillId="0" borderId="116" xfId="0" applyNumberFormat="1" applyFont="1" applyFill="1" applyBorder="1" applyAlignment="1" applyProtection="1">
      <alignment horizontal="center" vertical="top"/>
    </xf>
    <xf numFmtId="3" fontId="7" fillId="0" borderId="116" xfId="0" applyNumberFormat="1" applyFont="1" applyFill="1" applyBorder="1" applyAlignment="1" applyProtection="1"/>
    <xf numFmtId="0" fontId="2" fillId="0" borderId="114" xfId="0" applyFont="1" applyFill="1" applyBorder="1" applyProtection="1"/>
    <xf numFmtId="16" fontId="2" fillId="0" borderId="117" xfId="0" quotePrefix="1" applyNumberFormat="1" applyFont="1" applyFill="1" applyBorder="1" applyAlignment="1" applyProtection="1">
      <alignment horizontal="left"/>
    </xf>
    <xf numFmtId="0" fontId="2" fillId="0" borderId="118" xfId="0" applyNumberFormat="1" applyFont="1" applyFill="1" applyBorder="1" applyAlignment="1" applyProtection="1">
      <alignment horizontal="left" vertical="top"/>
    </xf>
    <xf numFmtId="0" fontId="3" fillId="0" borderId="118" xfId="0" applyFont="1" applyFill="1" applyBorder="1" applyProtection="1"/>
    <xf numFmtId="0" fontId="5" fillId="0" borderId="118" xfId="0" applyFont="1" applyFill="1" applyBorder="1" applyProtection="1"/>
    <xf numFmtId="0" fontId="3" fillId="0" borderId="118" xfId="0" applyFont="1" applyFill="1" applyBorder="1" applyAlignment="1" applyProtection="1">
      <alignment horizontal="right"/>
    </xf>
    <xf numFmtId="0" fontId="2" fillId="0" borderId="115" xfId="0" applyFont="1" applyFill="1" applyBorder="1" applyAlignment="1" applyProtection="1">
      <alignment horizontal="left"/>
    </xf>
    <xf numFmtId="3" fontId="3" fillId="0" borderId="115" xfId="0" applyNumberFormat="1" applyFont="1" applyFill="1" applyBorder="1" applyAlignment="1" applyProtection="1">
      <alignment horizontal="right"/>
    </xf>
    <xf numFmtId="9" fontId="3" fillId="0" borderId="115" xfId="2" applyFont="1" applyFill="1" applyBorder="1" applyAlignment="1" applyProtection="1">
      <alignment horizontal="right"/>
    </xf>
    <xf numFmtId="0" fontId="3" fillId="0" borderId="115" xfId="0" applyFont="1" applyFill="1" applyBorder="1" applyAlignment="1" applyProtection="1">
      <alignment horizontal="right"/>
    </xf>
    <xf numFmtId="3" fontId="35" fillId="0" borderId="113" xfId="0" applyNumberFormat="1" applyFont="1" applyFill="1" applyBorder="1" applyAlignment="1" applyProtection="1">
      <alignment horizontal="right"/>
    </xf>
    <xf numFmtId="3" fontId="3" fillId="0" borderId="118" xfId="0" applyNumberFormat="1" applyFont="1" applyFill="1" applyBorder="1" applyAlignment="1" applyProtection="1">
      <alignment horizontal="right"/>
    </xf>
    <xf numFmtId="9" fontId="3" fillId="0" borderId="118" xfId="2" applyFont="1" applyFill="1" applyBorder="1" applyAlignment="1" applyProtection="1">
      <alignment horizontal="right"/>
    </xf>
    <xf numFmtId="0" fontId="2" fillId="0" borderId="115" xfId="0" applyFont="1" applyFill="1" applyBorder="1" applyProtection="1"/>
    <xf numFmtId="0" fontId="2" fillId="14" borderId="115" xfId="0" applyFont="1" applyFill="1" applyBorder="1" applyProtection="1"/>
    <xf numFmtId="0" fontId="2" fillId="0" borderId="117" xfId="0" applyFont="1" applyFill="1" applyBorder="1" applyAlignment="1" applyProtection="1">
      <alignment horizontal="left"/>
    </xf>
    <xf numFmtId="0" fontId="2" fillId="0" borderId="117" xfId="0" applyFont="1" applyFill="1" applyBorder="1" applyProtection="1"/>
    <xf numFmtId="0" fontId="2" fillId="8" borderId="16" xfId="0" applyNumberFormat="1" applyFont="1" applyFill="1" applyBorder="1" applyAlignment="1" applyProtection="1"/>
    <xf numFmtId="0" fontId="2" fillId="8" borderId="20" xfId="0" applyNumberFormat="1" applyFont="1" applyFill="1" applyBorder="1" applyAlignment="1" applyProtection="1"/>
    <xf numFmtId="3" fontId="2" fillId="15" borderId="117" xfId="0" applyNumberFormat="1" applyFont="1" applyFill="1" applyBorder="1" applyAlignment="1" applyProtection="1"/>
    <xf numFmtId="9" fontId="2" fillId="15" borderId="117" xfId="2" applyFont="1" applyFill="1" applyBorder="1" applyAlignment="1" applyProtection="1">
      <alignment horizontal="left"/>
    </xf>
    <xf numFmtId="3" fontId="2" fillId="15" borderId="114" xfId="0" applyNumberFormat="1" applyFont="1" applyFill="1" applyBorder="1" applyAlignment="1" applyProtection="1"/>
    <xf numFmtId="9" fontId="2" fillId="15" borderId="114" xfId="2" applyFont="1" applyFill="1" applyBorder="1" applyAlignment="1" applyProtection="1">
      <alignment horizontal="left"/>
    </xf>
    <xf numFmtId="3" fontId="2" fillId="15" borderId="118" xfId="0" applyNumberFormat="1" applyFont="1" applyFill="1" applyBorder="1" applyAlignment="1" applyProtection="1"/>
    <xf numFmtId="9" fontId="2" fillId="15" borderId="118" xfId="2" applyFont="1" applyFill="1" applyBorder="1" applyAlignment="1" applyProtection="1">
      <alignment horizontal="left"/>
    </xf>
    <xf numFmtId="0" fontId="2" fillId="0" borderId="0" xfId="0" applyNumberFormat="1" applyFont="1" applyBorder="1" applyAlignment="1" applyProtection="1">
      <alignment horizontal="center"/>
    </xf>
    <xf numFmtId="0" fontId="3" fillId="8" borderId="118" xfId="0" applyNumberFormat="1" applyFont="1" applyFill="1" applyBorder="1" applyAlignment="1" applyProtection="1"/>
    <xf numFmtId="0" fontId="2" fillId="8" borderId="118" xfId="0" applyNumberFormat="1" applyFont="1" applyFill="1" applyBorder="1" applyAlignment="1" applyProtection="1"/>
    <xf numFmtId="3" fontId="3" fillId="8" borderId="118" xfId="0" applyNumberFormat="1" applyFont="1" applyFill="1" applyBorder="1" applyAlignment="1" applyProtection="1">
      <alignment horizontal="left"/>
    </xf>
    <xf numFmtId="9" fontId="2" fillId="8" borderId="118" xfId="2" applyFont="1" applyFill="1" applyBorder="1" applyAlignment="1" applyProtection="1">
      <alignment horizontal="left"/>
    </xf>
    <xf numFmtId="3" fontId="2" fillId="8" borderId="118" xfId="0" applyNumberFormat="1" applyFont="1" applyFill="1" applyBorder="1" applyAlignment="1" applyProtection="1">
      <alignment horizontal="left"/>
    </xf>
    <xf numFmtId="9" fontId="4" fillId="8" borderId="115" xfId="2" applyFont="1" applyFill="1" applyBorder="1" applyAlignment="1" applyProtection="1">
      <alignment horizontal="left"/>
    </xf>
    <xf numFmtId="3" fontId="3" fillId="8" borderId="115" xfId="0" applyNumberFormat="1" applyFont="1" applyFill="1" applyBorder="1" applyAlignment="1" applyProtection="1">
      <alignment horizontal="left"/>
    </xf>
    <xf numFmtId="9" fontId="4" fillId="8" borderId="115" xfId="2" applyFont="1" applyFill="1" applyBorder="1" applyAlignment="1" applyProtection="1">
      <alignment horizontal="center"/>
    </xf>
    <xf numFmtId="9" fontId="2" fillId="8" borderId="118" xfId="2" applyFont="1" applyFill="1" applyBorder="1" applyAlignment="1" applyProtection="1">
      <alignment horizontal="center"/>
    </xf>
    <xf numFmtId="0" fontId="3" fillId="8" borderId="118" xfId="0" applyFont="1" applyFill="1" applyBorder="1" applyAlignment="1" applyProtection="1">
      <alignment horizontal="left"/>
    </xf>
    <xf numFmtId="0" fontId="2" fillId="8" borderId="118" xfId="0" applyFont="1" applyFill="1" applyBorder="1" applyAlignment="1" applyProtection="1">
      <alignment horizontal="left"/>
    </xf>
    <xf numFmtId="3" fontId="3" fillId="8" borderId="118" xfId="0" applyNumberFormat="1" applyFont="1" applyFill="1" applyBorder="1" applyAlignment="1" applyProtection="1"/>
    <xf numFmtId="9" fontId="3" fillId="8" borderId="118" xfId="2" applyFont="1" applyFill="1" applyBorder="1" applyAlignment="1" applyProtection="1">
      <alignment horizontal="center"/>
    </xf>
    <xf numFmtId="0" fontId="3" fillId="8" borderId="87" xfId="0" applyNumberFormat="1" applyFont="1" applyFill="1" applyBorder="1" applyAlignment="1" applyProtection="1"/>
    <xf numFmtId="3" fontId="3" fillId="8" borderId="87" xfId="0" applyNumberFormat="1" applyFont="1" applyFill="1" applyBorder="1" applyAlignment="1" applyProtection="1">
      <alignment horizontal="right"/>
    </xf>
    <xf numFmtId="9" fontId="4" fillId="8" borderId="87" xfId="2" applyNumberFormat="1" applyFont="1" applyFill="1" applyBorder="1" applyAlignment="1" applyProtection="1">
      <alignment horizontal="right"/>
    </xf>
    <xf numFmtId="0" fontId="2" fillId="8" borderId="125" xfId="0" applyNumberFormat="1" applyFont="1" applyFill="1" applyBorder="1" applyAlignment="1" applyProtection="1">
      <alignment horizontal="left"/>
    </xf>
    <xf numFmtId="9" fontId="19" fillId="8" borderId="87" xfId="2" applyNumberFormat="1" applyFont="1" applyFill="1" applyBorder="1" applyAlignment="1" applyProtection="1">
      <alignment horizontal="right"/>
    </xf>
    <xf numFmtId="0" fontId="2" fillId="15" borderId="1" xfId="0" applyNumberFormat="1" applyFont="1" applyFill="1" applyBorder="1" applyAlignment="1" applyProtection="1"/>
    <xf numFmtId="3" fontId="2" fillId="0" borderId="4" xfId="0" applyNumberFormat="1" applyFont="1" applyFill="1" applyBorder="1" applyAlignment="1" applyProtection="1"/>
    <xf numFmtId="16" fontId="2" fillId="8" borderId="69" xfId="0" quotePrefix="1" applyNumberFormat="1" applyFont="1" applyFill="1" applyBorder="1" applyAlignment="1" applyProtection="1"/>
    <xf numFmtId="0" fontId="3" fillId="8" borderId="57" xfId="0" applyNumberFormat="1" applyFont="1" applyFill="1" applyBorder="1" applyAlignment="1" applyProtection="1"/>
    <xf numFmtId="0" fontId="2" fillId="8" borderId="57" xfId="0" applyNumberFormat="1" applyFont="1" applyFill="1" applyBorder="1" applyAlignment="1" applyProtection="1"/>
    <xf numFmtId="3" fontId="3" fillId="8" borderId="57" xfId="0" applyNumberFormat="1" applyFont="1" applyFill="1" applyBorder="1" applyAlignment="1" applyProtection="1"/>
    <xf numFmtId="9" fontId="2" fillId="8" borderId="57" xfId="2" applyFont="1" applyFill="1" applyBorder="1" applyAlignment="1" applyProtection="1"/>
    <xf numFmtId="4" fontId="2" fillId="8" borderId="70" xfId="0" applyNumberFormat="1" applyFont="1" applyFill="1" applyBorder="1" applyAlignment="1" applyProtection="1"/>
    <xf numFmtId="3" fontId="3" fillId="8" borderId="73" xfId="0" applyNumberFormat="1" applyFont="1" applyFill="1" applyBorder="1" applyAlignment="1" applyProtection="1"/>
    <xf numFmtId="3" fontId="2" fillId="0" borderId="49" xfId="0" applyNumberFormat="1" applyFont="1" applyFill="1" applyBorder="1" applyAlignment="1" applyProtection="1"/>
    <xf numFmtId="16" fontId="2" fillId="8" borderId="15" xfId="0" quotePrefix="1" applyNumberFormat="1" applyFont="1" applyFill="1" applyBorder="1" applyAlignment="1" applyProtection="1"/>
    <xf numFmtId="0" fontId="3" fillId="8" borderId="10" xfId="0" applyNumberFormat="1" applyFont="1" applyFill="1" applyBorder="1" applyAlignment="1" applyProtection="1"/>
    <xf numFmtId="0" fontId="2" fillId="8" borderId="10" xfId="0" applyNumberFormat="1" applyFont="1" applyFill="1" applyBorder="1" applyAlignment="1" applyProtection="1"/>
    <xf numFmtId="3" fontId="3" fillId="8" borderId="10" xfId="0" applyNumberFormat="1" applyFont="1" applyFill="1" applyBorder="1" applyAlignment="1" applyProtection="1"/>
    <xf numFmtId="9" fontId="2" fillId="8" borderId="10" xfId="2" applyFont="1" applyFill="1" applyBorder="1" applyAlignment="1" applyProtection="1"/>
    <xf numFmtId="4" fontId="2" fillId="8" borderId="17" xfId="0" applyNumberFormat="1" applyFont="1" applyFill="1" applyBorder="1" applyAlignment="1" applyProtection="1"/>
    <xf numFmtId="3" fontId="3" fillId="8" borderId="77" xfId="0" applyNumberFormat="1" applyFont="1" applyFill="1" applyBorder="1" applyAlignment="1" applyProtection="1"/>
    <xf numFmtId="16" fontId="2" fillId="8" borderId="81" xfId="0" quotePrefix="1" applyNumberFormat="1" applyFont="1" applyFill="1" applyBorder="1" applyAlignment="1" applyProtection="1"/>
    <xf numFmtId="0" fontId="2" fillId="8" borderId="82" xfId="0" applyNumberFormat="1" applyFont="1" applyFill="1" applyBorder="1" applyAlignment="1" applyProtection="1"/>
    <xf numFmtId="3" fontId="3" fillId="8" borderId="82" xfId="0" applyNumberFormat="1" applyFont="1" applyFill="1" applyBorder="1" applyAlignment="1" applyProtection="1"/>
    <xf numFmtId="4" fontId="2" fillId="8" borderId="72" xfId="0" applyNumberFormat="1" applyFont="1" applyFill="1" applyBorder="1" applyAlignment="1" applyProtection="1"/>
    <xf numFmtId="3" fontId="3" fillId="8" borderId="80" xfId="0" applyNumberFormat="1" applyFont="1" applyFill="1" applyBorder="1" applyAlignment="1" applyProtection="1"/>
    <xf numFmtId="16" fontId="2" fillId="15" borderId="69" xfId="0" quotePrefix="1" applyNumberFormat="1" applyFont="1" applyFill="1" applyBorder="1" applyAlignment="1" applyProtection="1"/>
    <xf numFmtId="0" fontId="3" fillId="15" borderId="57" xfId="0" applyNumberFormat="1" applyFont="1" applyFill="1" applyBorder="1" applyAlignment="1" applyProtection="1"/>
    <xf numFmtId="0" fontId="2" fillId="15" borderId="57" xfId="0" applyNumberFormat="1" applyFont="1" applyFill="1" applyBorder="1" applyAlignment="1" applyProtection="1"/>
    <xf numFmtId="3" fontId="3" fillId="15" borderId="57" xfId="0" applyNumberFormat="1" applyFont="1" applyFill="1" applyBorder="1" applyAlignment="1" applyProtection="1"/>
    <xf numFmtId="9" fontId="2" fillId="15" borderId="57" xfId="2" applyFont="1" applyFill="1" applyBorder="1" applyAlignment="1" applyProtection="1"/>
    <xf numFmtId="4" fontId="2" fillId="15" borderId="57" xfId="0" applyNumberFormat="1" applyFont="1" applyFill="1" applyBorder="1" applyAlignment="1" applyProtection="1"/>
    <xf numFmtId="3" fontId="3" fillId="15" borderId="73" xfId="0" applyNumberFormat="1" applyFont="1" applyFill="1" applyBorder="1" applyAlignment="1" applyProtection="1"/>
    <xf numFmtId="165" fontId="2" fillId="0" borderId="1" xfId="0" applyNumberFormat="1" applyFont="1" applyFill="1" applyBorder="1" applyAlignment="1" applyProtection="1"/>
    <xf numFmtId="1" fontId="2" fillId="0" borderId="1" xfId="0" applyNumberFormat="1" applyFont="1" applyFill="1" applyBorder="1" applyAlignment="1" applyProtection="1"/>
    <xf numFmtId="3" fontId="2" fillId="0" borderId="11" xfId="0" applyNumberFormat="1" applyFont="1" applyFill="1" applyBorder="1" applyAlignment="1" applyProtection="1"/>
    <xf numFmtId="3" fontId="2" fillId="0" borderId="9" xfId="0" applyNumberFormat="1" applyFont="1" applyFill="1" applyBorder="1" applyAlignment="1" applyProtection="1"/>
    <xf numFmtId="3" fontId="2" fillId="0" borderId="5" xfId="0" applyNumberFormat="1" applyFont="1" applyFill="1" applyBorder="1" applyAlignment="1" applyProtection="1"/>
    <xf numFmtId="3" fontId="2" fillId="15" borderId="54" xfId="0" applyNumberFormat="1" applyFont="1" applyFill="1" applyBorder="1" applyAlignment="1" applyProtection="1"/>
    <xf numFmtId="0" fontId="2" fillId="8" borderId="1" xfId="0" applyNumberFormat="1" applyFont="1" applyFill="1" applyBorder="1" applyAlignment="1" applyProtection="1">
      <alignment vertical="top"/>
    </xf>
    <xf numFmtId="3" fontId="2" fillId="0" borderId="74" xfId="0" applyNumberFormat="1" applyFont="1" applyFill="1" applyBorder="1" applyAlignment="1" applyProtection="1"/>
    <xf numFmtId="3" fontId="2" fillId="15" borderId="75" xfId="0" applyNumberFormat="1" applyFont="1" applyFill="1" applyBorder="1" applyAlignment="1" applyProtection="1"/>
    <xf numFmtId="3" fontId="2" fillId="15" borderId="11" xfId="0" applyNumberFormat="1" applyFont="1" applyFill="1" applyBorder="1" applyAlignment="1" applyProtection="1"/>
    <xf numFmtId="0" fontId="2" fillId="15" borderId="12" xfId="0" applyNumberFormat="1" applyFont="1" applyFill="1" applyBorder="1" applyAlignment="1" applyProtection="1"/>
    <xf numFmtId="0" fontId="2" fillId="15" borderId="6" xfId="0" applyNumberFormat="1" applyFont="1" applyFill="1" applyBorder="1" applyAlignment="1" applyProtection="1"/>
    <xf numFmtId="0" fontId="2" fillId="15" borderId="6" xfId="0" applyNumberFormat="1" applyFont="1" applyFill="1" applyBorder="1" applyAlignment="1" applyProtection="1">
      <alignment horizontal="center"/>
    </xf>
    <xf numFmtId="0" fontId="2" fillId="15" borderId="13" xfId="0" applyNumberFormat="1" applyFont="1" applyFill="1" applyBorder="1" applyAlignment="1" applyProtection="1"/>
    <xf numFmtId="0" fontId="2" fillId="15" borderId="2" xfId="0" applyNumberFormat="1" applyFont="1" applyFill="1" applyBorder="1" applyAlignment="1" applyProtection="1"/>
    <xf numFmtId="171" fontId="2" fillId="15" borderId="1" xfId="1" applyNumberFormat="1" applyFont="1" applyFill="1" applyBorder="1" applyAlignment="1" applyProtection="1"/>
    <xf numFmtId="9" fontId="2" fillId="15" borderId="1" xfId="2" applyFont="1" applyFill="1" applyBorder="1" applyAlignment="1" applyProtection="1"/>
    <xf numFmtId="0" fontId="2" fillId="15" borderId="2" xfId="0" applyNumberFormat="1" applyFont="1" applyFill="1" applyBorder="1" applyAlignment="1" applyProtection="1">
      <alignment vertical="justify"/>
    </xf>
    <xf numFmtId="171" fontId="2" fillId="15" borderId="2" xfId="1" applyNumberFormat="1" applyFont="1" applyFill="1" applyBorder="1" applyAlignment="1" applyProtection="1"/>
    <xf numFmtId="0" fontId="2" fillId="15" borderId="14" xfId="0" applyNumberFormat="1" applyFont="1" applyFill="1" applyBorder="1" applyAlignment="1" applyProtection="1"/>
    <xf numFmtId="0" fontId="2" fillId="15" borderId="19" xfId="0" applyNumberFormat="1" applyFont="1" applyFill="1" applyBorder="1" applyAlignment="1" applyProtection="1">
      <alignment vertical="justify"/>
    </xf>
    <xf numFmtId="0" fontId="2" fillId="15" borderId="8" xfId="0" applyNumberFormat="1" applyFont="1" applyFill="1" applyBorder="1" applyAlignment="1" applyProtection="1"/>
    <xf numFmtId="171" fontId="2" fillId="15" borderId="19" xfId="1" applyNumberFormat="1" applyFont="1" applyFill="1" applyBorder="1" applyAlignment="1" applyProtection="1"/>
    <xf numFmtId="9" fontId="2" fillId="15" borderId="8" xfId="2" applyFont="1" applyFill="1" applyBorder="1" applyAlignment="1" applyProtection="1"/>
    <xf numFmtId="0" fontId="2" fillId="15" borderId="11" xfId="0" applyNumberFormat="1" applyFont="1" applyFill="1" applyBorder="1" applyAlignment="1" applyProtection="1">
      <alignment horizontal="center"/>
    </xf>
    <xf numFmtId="171" fontId="2" fillId="15" borderId="8" xfId="1" applyNumberFormat="1" applyFont="1" applyFill="1" applyBorder="1" applyAlignment="1" applyProtection="1"/>
    <xf numFmtId="171" fontId="2" fillId="15" borderId="7" xfId="1" applyNumberFormat="1" applyFont="1" applyFill="1" applyBorder="1" applyAlignment="1" applyProtection="1"/>
    <xf numFmtId="171" fontId="2" fillId="15" borderId="9" xfId="1" applyNumberFormat="1" applyFont="1" applyFill="1" applyBorder="1" applyAlignment="1" applyProtection="1"/>
    <xf numFmtId="3" fontId="2" fillId="0" borderId="13"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9" fontId="2" fillId="0" borderId="1" xfId="2"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14" xfId="0" applyNumberFormat="1" applyFont="1" applyFill="1" applyBorder="1" applyAlignment="1" applyProtection="1">
      <protection locked="0"/>
    </xf>
    <xf numFmtId="9" fontId="2" fillId="0" borderId="8" xfId="2" applyFont="1" applyFill="1" applyBorder="1" applyAlignment="1" applyProtection="1">
      <protection locked="0"/>
    </xf>
    <xf numFmtId="3" fontId="2" fillId="0" borderId="8" xfId="0" applyNumberFormat="1" applyFont="1" applyFill="1" applyBorder="1" applyAlignment="1" applyProtection="1">
      <protection locked="0"/>
    </xf>
    <xf numFmtId="3" fontId="2" fillId="0" borderId="9" xfId="0" applyNumberFormat="1" applyFont="1" applyFill="1" applyBorder="1" applyAlignment="1" applyProtection="1">
      <protection locked="0"/>
    </xf>
    <xf numFmtId="3" fontId="2" fillId="0" borderId="5" xfId="0" applyNumberFormat="1" applyFont="1" applyFill="1" applyBorder="1" applyAlignment="1" applyProtection="1">
      <protection locked="0"/>
    </xf>
    <xf numFmtId="9" fontId="2" fillId="0" borderId="5" xfId="2" applyFont="1" applyFill="1" applyBorder="1" applyAlignment="1" applyProtection="1">
      <protection locked="0"/>
    </xf>
    <xf numFmtId="3" fontId="2" fillId="0" borderId="74" xfId="0" applyNumberFormat="1" applyFont="1" applyFill="1" applyBorder="1" applyAlignment="1" applyProtection="1">
      <protection locked="0"/>
    </xf>
    <xf numFmtId="0" fontId="2" fillId="0" borderId="60" xfId="0" applyNumberFormat="1" applyFont="1" applyFill="1" applyBorder="1" applyAlignment="1" applyProtection="1">
      <alignment horizontal="center"/>
    </xf>
    <xf numFmtId="3" fontId="2" fillId="0" borderId="44" xfId="0" applyNumberFormat="1" applyFont="1" applyFill="1" applyBorder="1" applyAlignment="1" applyProtection="1">
      <protection locked="0"/>
    </xf>
    <xf numFmtId="3" fontId="2" fillId="0" borderId="4" xfId="0" applyNumberFormat="1" applyFont="1" applyFill="1" applyBorder="1" applyAlignment="1" applyProtection="1">
      <protection locked="0"/>
    </xf>
    <xf numFmtId="9" fontId="2" fillId="0" borderId="4" xfId="2" applyFont="1" applyFill="1" applyBorder="1" applyAlignment="1" applyProtection="1">
      <protection locked="0"/>
    </xf>
    <xf numFmtId="3" fontId="2" fillId="0" borderId="40" xfId="0" applyNumberFormat="1" applyFont="1" applyFill="1" applyBorder="1" applyAlignment="1" applyProtection="1">
      <protection locked="0"/>
    </xf>
    <xf numFmtId="2" fontId="2" fillId="15" borderId="13" xfId="0" applyNumberFormat="1" applyFont="1" applyFill="1" applyBorder="1" applyAlignment="1" applyProtection="1"/>
    <xf numFmtId="2" fontId="2" fillId="15" borderId="14" xfId="0" applyNumberFormat="1" applyFont="1" applyFill="1" applyBorder="1" applyAlignment="1" applyProtection="1"/>
    <xf numFmtId="2" fontId="2" fillId="15" borderId="1" xfId="0" applyNumberFormat="1" applyFont="1" applyFill="1" applyBorder="1" applyAlignment="1" applyProtection="1"/>
    <xf numFmtId="2" fontId="2" fillId="15" borderId="8" xfId="0" applyNumberFormat="1" applyFont="1" applyFill="1" applyBorder="1" applyAlignment="1" applyProtection="1"/>
    <xf numFmtId="0" fontId="2" fillId="0" borderId="47" xfId="0" applyNumberFormat="1" applyFont="1" applyFill="1" applyBorder="1" applyAlignment="1" applyProtection="1"/>
    <xf numFmtId="0" fontId="2" fillId="8" borderId="69" xfId="0" applyNumberFormat="1" applyFont="1" applyFill="1" applyBorder="1" applyAlignment="1" applyProtection="1"/>
    <xf numFmtId="0" fontId="2" fillId="8" borderId="70" xfId="0" applyNumberFormat="1" applyFont="1" applyFill="1" applyBorder="1" applyAlignment="1" applyProtection="1"/>
    <xf numFmtId="0" fontId="2" fillId="8" borderId="71" xfId="0" applyNumberFormat="1" applyFont="1" applyFill="1" applyBorder="1" applyAlignment="1" applyProtection="1"/>
    <xf numFmtId="0" fontId="2" fillId="8" borderId="44" xfId="0" applyNumberFormat="1" applyFont="1" applyFill="1" applyBorder="1" applyAlignment="1" applyProtection="1"/>
    <xf numFmtId="0" fontId="2" fillId="8" borderId="41" xfId="0" applyNumberFormat="1" applyFont="1" applyFill="1" applyBorder="1" applyAlignment="1" applyProtection="1"/>
    <xf numFmtId="0" fontId="2" fillId="8" borderId="42" xfId="0" applyNumberFormat="1" applyFont="1" applyFill="1" applyBorder="1" applyAlignment="1" applyProtection="1"/>
    <xf numFmtId="0" fontId="2" fillId="8" borderId="5" xfId="0" applyNumberFormat="1" applyFont="1" applyFill="1" applyBorder="1" applyAlignment="1" applyProtection="1"/>
    <xf numFmtId="0" fontId="2" fillId="8" borderId="69" xfId="0" applyFont="1" applyFill="1" applyBorder="1" applyAlignment="1" applyProtection="1">
      <alignment horizontal="left"/>
    </xf>
    <xf numFmtId="0" fontId="2" fillId="8" borderId="58" xfId="0" applyNumberFormat="1" applyFont="1" applyFill="1" applyBorder="1" applyAlignment="1" applyProtection="1">
      <alignment vertical="top"/>
    </xf>
    <xf numFmtId="3" fontId="2" fillId="15" borderId="12" xfId="0" applyNumberFormat="1" applyFont="1" applyFill="1" applyBorder="1" applyAlignment="1" applyProtection="1"/>
    <xf numFmtId="9" fontId="2" fillId="15" borderId="6" xfId="2" applyFont="1" applyFill="1" applyBorder="1" applyAlignment="1" applyProtection="1"/>
    <xf numFmtId="3" fontId="2" fillId="15" borderId="6" xfId="0" applyNumberFormat="1" applyFont="1" applyFill="1" applyBorder="1" applyAlignment="1" applyProtection="1"/>
    <xf numFmtId="3" fontId="3" fillId="8" borderId="13" xfId="0" applyNumberFormat="1" applyFont="1" applyFill="1" applyBorder="1" applyAlignment="1" applyProtection="1"/>
    <xf numFmtId="3" fontId="3" fillId="8" borderId="1" xfId="0" applyNumberFormat="1" applyFont="1" applyFill="1" applyBorder="1" applyAlignment="1" applyProtection="1"/>
    <xf numFmtId="9" fontId="3" fillId="8" borderId="1" xfId="2" applyFont="1" applyFill="1" applyBorder="1" applyAlignment="1" applyProtection="1"/>
    <xf numFmtId="3" fontId="3" fillId="8" borderId="7" xfId="0" applyNumberFormat="1" applyFont="1" applyFill="1" applyBorder="1" applyAlignment="1" applyProtection="1"/>
    <xf numFmtId="3" fontId="3" fillId="8" borderId="14" xfId="0" applyNumberFormat="1" applyFont="1" applyFill="1" applyBorder="1" applyAlignment="1" applyProtection="1"/>
    <xf numFmtId="3" fontId="3" fillId="8" borderId="8" xfId="0" applyNumberFormat="1" applyFont="1" applyFill="1" applyBorder="1" applyAlignment="1" applyProtection="1"/>
    <xf numFmtId="9" fontId="3" fillId="8" borderId="8" xfId="2" applyFont="1" applyFill="1" applyBorder="1" applyAlignment="1" applyProtection="1"/>
    <xf numFmtId="3" fontId="3" fillId="8" borderId="9" xfId="0" applyNumberFormat="1" applyFont="1" applyFill="1" applyBorder="1" applyAlignment="1" applyProtection="1"/>
    <xf numFmtId="3" fontId="2" fillId="16" borderId="1" xfId="0" applyNumberFormat="1" applyFont="1" applyFill="1" applyBorder="1" applyAlignment="1" applyProtection="1">
      <alignment vertical="center"/>
      <protection locked="0"/>
    </xf>
    <xf numFmtId="3" fontId="2" fillId="16" borderId="7" xfId="0" applyNumberFormat="1" applyFont="1" applyFill="1" applyBorder="1" applyAlignment="1" applyProtection="1">
      <alignment vertical="center"/>
      <protection locked="0"/>
    </xf>
    <xf numFmtId="3" fontId="2" fillId="16" borderId="6" xfId="0" applyNumberFormat="1" applyFont="1" applyFill="1" applyBorder="1" applyAlignment="1" applyProtection="1">
      <protection locked="0"/>
    </xf>
    <xf numFmtId="3" fontId="4" fillId="16" borderId="6" xfId="0" applyNumberFormat="1" applyFont="1" applyFill="1" applyBorder="1" applyAlignment="1" applyProtection="1">
      <protection locked="0"/>
    </xf>
    <xf numFmtId="3" fontId="4" fillId="16" borderId="8" xfId="0" applyNumberFormat="1" applyFont="1" applyFill="1" applyBorder="1" applyAlignment="1" applyProtection="1">
      <protection locked="0"/>
    </xf>
    <xf numFmtId="3" fontId="4" fillId="16" borderId="11" xfId="0" applyNumberFormat="1" applyFont="1" applyFill="1" applyBorder="1" applyAlignment="1" applyProtection="1">
      <protection locked="0"/>
    </xf>
    <xf numFmtId="3" fontId="19" fillId="16" borderId="6" xfId="0" applyNumberFormat="1" applyFont="1" applyFill="1" applyBorder="1" applyAlignment="1" applyProtection="1">
      <protection locked="0"/>
    </xf>
    <xf numFmtId="3" fontId="19" fillId="16" borderId="11" xfId="0" applyNumberFormat="1" applyFont="1" applyFill="1" applyBorder="1" applyAlignment="1" applyProtection="1">
      <protection locked="0"/>
    </xf>
    <xf numFmtId="3" fontId="19" fillId="16" borderId="1" xfId="0" applyNumberFormat="1" applyFont="1" applyFill="1" applyBorder="1" applyAlignment="1" applyProtection="1">
      <protection locked="0"/>
    </xf>
    <xf numFmtId="3" fontId="19" fillId="16" borderId="7" xfId="0" applyNumberFormat="1" applyFont="1" applyFill="1" applyBorder="1" applyAlignment="1" applyProtection="1">
      <protection locked="0"/>
    </xf>
    <xf numFmtId="3" fontId="19" fillId="16" borderId="8" xfId="0" applyNumberFormat="1" applyFont="1" applyFill="1" applyBorder="1" applyAlignment="1" applyProtection="1">
      <protection locked="0"/>
    </xf>
    <xf numFmtId="3" fontId="19" fillId="16" borderId="9" xfId="0" applyNumberFormat="1" applyFont="1" applyFill="1" applyBorder="1" applyAlignment="1" applyProtection="1">
      <protection locked="0"/>
    </xf>
    <xf numFmtId="9" fontId="4" fillId="16" borderId="1" xfId="2" applyFont="1" applyFill="1" applyBorder="1" applyAlignment="1" applyProtection="1">
      <protection locked="0"/>
    </xf>
    <xf numFmtId="3" fontId="4" fillId="16" borderId="1" xfId="0" applyNumberFormat="1" applyFont="1" applyFill="1" applyBorder="1" applyAlignment="1" applyProtection="1">
      <protection locked="0"/>
    </xf>
    <xf numFmtId="3" fontId="4" fillId="16" borderId="7" xfId="0" applyNumberFormat="1" applyFont="1" applyFill="1" applyBorder="1" applyAlignment="1" applyProtection="1">
      <protection locked="0"/>
    </xf>
    <xf numFmtId="3" fontId="4" fillId="16" borderId="5" xfId="0" applyNumberFormat="1" applyFont="1" applyFill="1" applyBorder="1" applyAlignment="1" applyProtection="1">
      <protection locked="0"/>
    </xf>
    <xf numFmtId="3" fontId="4" fillId="16" borderId="74" xfId="0" applyNumberFormat="1" applyFont="1" applyFill="1" applyBorder="1" applyAlignment="1" applyProtection="1">
      <protection locked="0"/>
    </xf>
    <xf numFmtId="3" fontId="4" fillId="16" borderId="9" xfId="0" applyNumberFormat="1" applyFont="1" applyFill="1" applyBorder="1" applyAlignment="1" applyProtection="1">
      <protection locked="0"/>
    </xf>
    <xf numFmtId="3" fontId="4" fillId="16" borderId="4" xfId="0" applyNumberFormat="1" applyFont="1" applyFill="1" applyBorder="1" applyAlignment="1" applyProtection="1">
      <protection locked="0"/>
    </xf>
    <xf numFmtId="3" fontId="4" fillId="16" borderId="40" xfId="0" applyNumberFormat="1" applyFont="1" applyFill="1" applyBorder="1" applyAlignment="1" applyProtection="1">
      <protection locked="0"/>
    </xf>
    <xf numFmtId="3" fontId="4" fillId="16" borderId="57" xfId="0" applyNumberFormat="1" applyFont="1" applyFill="1" applyBorder="1" applyAlignment="1" applyProtection="1">
      <protection locked="0"/>
    </xf>
    <xf numFmtId="3" fontId="4" fillId="16" borderId="75" xfId="0" applyNumberFormat="1" applyFont="1" applyFill="1" applyBorder="1" applyAlignment="1" applyProtection="1">
      <protection locked="0"/>
    </xf>
    <xf numFmtId="3" fontId="4" fillId="16" borderId="49" xfId="0" applyNumberFormat="1" applyFont="1" applyFill="1" applyBorder="1" applyAlignment="1" applyProtection="1">
      <protection locked="0"/>
    </xf>
    <xf numFmtId="3" fontId="4" fillId="16" borderId="63" xfId="0" applyNumberFormat="1" applyFont="1" applyFill="1" applyBorder="1" applyAlignment="1" applyProtection="1">
      <protection locked="0"/>
    </xf>
    <xf numFmtId="165" fontId="4" fillId="16" borderId="1" xfId="0" applyNumberFormat="1" applyFont="1" applyFill="1" applyBorder="1" applyAlignment="1" applyProtection="1">
      <protection locked="0"/>
    </xf>
    <xf numFmtId="165" fontId="4" fillId="16" borderId="7" xfId="0" applyNumberFormat="1" applyFont="1" applyFill="1" applyBorder="1" applyAlignment="1" applyProtection="1">
      <protection locked="0"/>
    </xf>
    <xf numFmtId="14" fontId="4" fillId="16" borderId="1" xfId="0" applyNumberFormat="1" applyFont="1" applyFill="1" applyBorder="1" applyAlignment="1" applyProtection="1">
      <alignment horizontal="left"/>
      <protection locked="0"/>
    </xf>
    <xf numFmtId="14" fontId="4" fillId="16" borderId="7" xfId="0" applyNumberFormat="1" applyFont="1" applyFill="1" applyBorder="1" applyAlignment="1" applyProtection="1">
      <alignment horizontal="left"/>
      <protection locked="0"/>
    </xf>
    <xf numFmtId="0" fontId="4" fillId="16" borderId="1" xfId="0" applyNumberFormat="1" applyFont="1" applyFill="1" applyBorder="1" applyAlignment="1" applyProtection="1">
      <protection locked="0"/>
    </xf>
    <xf numFmtId="0" fontId="4" fillId="16" borderId="7" xfId="0" applyNumberFormat="1" applyFont="1" applyFill="1" applyBorder="1" applyAlignment="1" applyProtection="1">
      <protection locked="0"/>
    </xf>
    <xf numFmtId="0" fontId="28" fillId="16" borderId="14" xfId="0" applyNumberFormat="1" applyFont="1" applyFill="1" applyBorder="1" applyAlignment="1" applyProtection="1">
      <alignment horizontal="center"/>
      <protection locked="0"/>
    </xf>
    <xf numFmtId="0" fontId="28" fillId="16" borderId="8" xfId="0" applyNumberFormat="1" applyFont="1" applyFill="1" applyBorder="1" applyAlignment="1" applyProtection="1">
      <alignment horizontal="center"/>
      <protection locked="0"/>
    </xf>
    <xf numFmtId="0" fontId="28" fillId="16" borderId="9" xfId="0" applyNumberFormat="1" applyFont="1" applyFill="1" applyBorder="1" applyAlignment="1" applyProtection="1">
      <alignment horizontal="center"/>
      <protection locked="0"/>
    </xf>
    <xf numFmtId="0" fontId="4" fillId="16" borderId="6" xfId="0" applyNumberFormat="1" applyFont="1" applyFill="1" applyBorder="1" applyAlignment="1" applyProtection="1">
      <protection locked="0"/>
    </xf>
    <xf numFmtId="0" fontId="4" fillId="16" borderId="11" xfId="0" applyNumberFormat="1" applyFont="1" applyFill="1" applyBorder="1" applyAlignment="1" applyProtection="1">
      <protection locked="0"/>
    </xf>
    <xf numFmtId="3" fontId="2" fillId="8" borderId="1" xfId="0" applyNumberFormat="1" applyFont="1" applyFill="1" applyBorder="1" applyAlignment="1" applyProtection="1"/>
    <xf numFmtId="3" fontId="2" fillId="8" borderId="7" xfId="0" applyNumberFormat="1" applyFont="1" applyFill="1" applyBorder="1" applyAlignment="1" applyProtection="1"/>
    <xf numFmtId="3" fontId="2" fillId="8" borderId="54" xfId="0" applyNumberFormat="1" applyFont="1" applyFill="1" applyBorder="1" applyAlignment="1" applyProtection="1"/>
    <xf numFmtId="3" fontId="2" fillId="8" borderId="6" xfId="0" applyNumberFormat="1" applyFont="1" applyFill="1" applyBorder="1" applyAlignment="1" applyProtection="1"/>
    <xf numFmtId="3" fontId="2" fillId="8" borderId="11" xfId="0" applyNumberFormat="1" applyFont="1" applyFill="1" applyBorder="1" applyAlignment="1" applyProtection="1"/>
    <xf numFmtId="3" fontId="3" fillId="8" borderId="9" xfId="0" applyNumberFormat="1" applyFont="1" applyFill="1" applyBorder="1" applyAlignment="1" applyProtection="1">
      <protection hidden="1"/>
    </xf>
    <xf numFmtId="3" fontId="4" fillId="8" borderId="7" xfId="0" applyNumberFormat="1" applyFont="1" applyFill="1" applyBorder="1" applyAlignment="1" applyProtection="1">
      <protection hidden="1"/>
    </xf>
    <xf numFmtId="3" fontId="2" fillId="8" borderId="1" xfId="0" applyNumberFormat="1" applyFont="1" applyFill="1" applyBorder="1" applyAlignment="1" applyProtection="1">
      <alignment vertical="center"/>
    </xf>
    <xf numFmtId="3" fontId="2" fillId="8" borderId="7" xfId="0" applyNumberFormat="1" applyFont="1" applyFill="1" applyBorder="1" applyAlignment="1" applyProtection="1">
      <alignment vertical="center"/>
    </xf>
    <xf numFmtId="3" fontId="2" fillId="0" borderId="10" xfId="0" applyNumberFormat="1" applyFont="1" applyFill="1" applyBorder="1" applyAlignment="1" applyProtection="1"/>
    <xf numFmtId="3" fontId="2" fillId="8" borderId="10" xfId="0" applyNumberFormat="1" applyFont="1" applyFill="1" applyBorder="1" applyAlignment="1" applyProtection="1"/>
    <xf numFmtId="166" fontId="3" fillId="8" borderId="24" xfId="0" applyNumberFormat="1" applyFont="1" applyFill="1" applyBorder="1" applyAlignment="1" applyProtection="1">
      <alignment horizontal="center"/>
    </xf>
    <xf numFmtId="166" fontId="3" fillId="8" borderId="8" xfId="0" applyNumberFormat="1" applyFont="1" applyFill="1" applyBorder="1" applyAlignment="1" applyProtection="1">
      <alignment horizontal="center"/>
    </xf>
    <xf numFmtId="166" fontId="3" fillId="8" borderId="9" xfId="0" applyNumberFormat="1" applyFont="1" applyFill="1" applyBorder="1" applyAlignment="1" applyProtection="1">
      <alignment horizontal="center"/>
    </xf>
    <xf numFmtId="0" fontId="11" fillId="0" borderId="0" xfId="0" applyFont="1" applyFill="1" applyBorder="1" applyAlignment="1" applyProtection="1">
      <alignment wrapText="1"/>
    </xf>
    <xf numFmtId="0" fontId="2" fillId="0" borderId="113" xfId="0" applyFont="1" applyFill="1" applyBorder="1" applyAlignment="1" applyProtection="1"/>
    <xf numFmtId="20" fontId="11" fillId="0" borderId="0" xfId="0" quotePrefix="1" applyNumberFormat="1" applyFont="1" applyFill="1" applyBorder="1" applyAlignment="1" applyProtection="1">
      <alignment horizontal="right" wrapText="1"/>
    </xf>
    <xf numFmtId="9" fontId="10" fillId="15" borderId="114" xfId="2" applyFont="1" applyFill="1" applyBorder="1" applyAlignment="1" applyProtection="1">
      <alignment horizontal="center"/>
    </xf>
    <xf numFmtId="3" fontId="2" fillId="15" borderId="129" xfId="0" applyNumberFormat="1" applyFont="1" applyFill="1" applyBorder="1" applyAlignment="1" applyProtection="1"/>
    <xf numFmtId="9" fontId="10" fillId="15" borderId="129" xfId="2" applyFont="1" applyFill="1" applyBorder="1" applyAlignment="1" applyProtection="1">
      <alignment horizontal="center"/>
    </xf>
    <xf numFmtId="3" fontId="41" fillId="0" borderId="113" xfId="0" applyNumberFormat="1" applyFont="1" applyFill="1" applyBorder="1" applyAlignment="1" applyProtection="1"/>
    <xf numFmtId="9" fontId="42" fillId="0" borderId="113" xfId="2" applyFont="1" applyFill="1" applyBorder="1" applyAlignment="1" applyProtection="1"/>
    <xf numFmtId="49" fontId="2" fillId="0" borderId="0" xfId="0" applyNumberFormat="1" applyFont="1" applyFill="1" applyBorder="1" applyAlignment="1" applyProtection="1"/>
    <xf numFmtId="49" fontId="2" fillId="0" borderId="118" xfId="0" applyNumberFormat="1" applyFont="1" applyFill="1" applyBorder="1" applyAlignment="1" applyProtection="1"/>
    <xf numFmtId="0" fontId="18" fillId="13" borderId="73" xfId="0" applyFont="1" applyFill="1" applyBorder="1" applyAlignment="1">
      <alignment horizontal="center"/>
    </xf>
    <xf numFmtId="49" fontId="0" fillId="0" borderId="73" xfId="0" applyNumberFormat="1" applyBorder="1" applyAlignment="1">
      <alignment horizontal="center"/>
    </xf>
    <xf numFmtId="49" fontId="1" fillId="0" borderId="73" xfId="0" applyNumberFormat="1" applyFont="1" applyBorder="1" applyAlignment="1" applyProtection="1">
      <alignment horizontal="center"/>
      <protection locked="0"/>
    </xf>
    <xf numFmtId="0" fontId="1" fillId="0" borderId="73" xfId="0" applyFont="1" applyBorder="1" applyAlignment="1">
      <alignment horizontal="center"/>
    </xf>
    <xf numFmtId="0" fontId="20" fillId="13" borderId="73" xfId="0" applyFont="1" applyFill="1" applyBorder="1"/>
    <xf numFmtId="0" fontId="20" fillId="13" borderId="73" xfId="0" applyFont="1" applyFill="1" applyBorder="1" applyAlignment="1">
      <alignment horizontal="center"/>
    </xf>
    <xf numFmtId="0" fontId="2" fillId="2" borderId="20" xfId="0" applyNumberFormat="1" applyFont="1" applyFill="1" applyBorder="1" applyAlignment="1" applyProtection="1"/>
    <xf numFmtId="0" fontId="2" fillId="2" borderId="20" xfId="0" applyNumberFormat="1" applyFont="1" applyFill="1" applyBorder="1" applyAlignment="1" applyProtection="1">
      <alignment horizontal="left"/>
    </xf>
    <xf numFmtId="0" fontId="23" fillId="0" borderId="50" xfId="0" applyNumberFormat="1" applyFont="1" applyFill="1" applyBorder="1" applyAlignment="1" applyProtection="1">
      <alignment horizontal="center"/>
    </xf>
    <xf numFmtId="172" fontId="43" fillId="0" borderId="0" xfId="0" applyNumberFormat="1" applyFont="1" applyFill="1" applyBorder="1" applyAlignment="1">
      <alignment horizontal="right"/>
    </xf>
    <xf numFmtId="0" fontId="2" fillId="2" borderId="18" xfId="0" applyFont="1" applyFill="1" applyBorder="1" applyAlignment="1" applyProtection="1">
      <alignment horizontal="left"/>
    </xf>
    <xf numFmtId="0" fontId="2" fillId="2" borderId="23" xfId="0" applyFont="1" applyFill="1" applyBorder="1" applyAlignment="1" applyProtection="1">
      <alignment horizontal="left"/>
    </xf>
    <xf numFmtId="0" fontId="2" fillId="0" borderId="2"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2" borderId="45" xfId="0" applyFont="1" applyFill="1" applyBorder="1" applyAlignment="1" applyProtection="1">
      <alignment horizontal="left"/>
    </xf>
    <xf numFmtId="0" fontId="2" fillId="2" borderId="19" xfId="0" applyFont="1" applyFill="1" applyBorder="1" applyAlignment="1" applyProtection="1">
      <alignment horizontal="left"/>
    </xf>
    <xf numFmtId="0" fontId="2" fillId="2" borderId="43" xfId="0" applyFont="1" applyFill="1" applyBorder="1" applyAlignment="1" applyProtection="1">
      <alignment horizontal="left"/>
    </xf>
    <xf numFmtId="0" fontId="2" fillId="2" borderId="24" xfId="0" applyFont="1" applyFill="1" applyBorder="1" applyAlignment="1" applyProtection="1">
      <alignment horizontal="left"/>
    </xf>
    <xf numFmtId="0" fontId="28" fillId="16" borderId="100" xfId="0" applyNumberFormat="1" applyFont="1" applyFill="1" applyBorder="1" applyAlignment="1" applyProtection="1">
      <alignment horizontal="left" vertical="center"/>
    </xf>
    <xf numFmtId="0" fontId="36" fillId="16" borderId="58" xfId="0" applyFont="1" applyFill="1" applyBorder="1" applyAlignment="1">
      <alignment horizontal="left" vertical="center"/>
    </xf>
    <xf numFmtId="0" fontId="36" fillId="16" borderId="101" xfId="0" applyFont="1" applyFill="1" applyBorder="1" applyAlignment="1">
      <alignment horizontal="left" vertical="center"/>
    </xf>
    <xf numFmtId="0" fontId="2" fillId="2" borderId="65" xfId="0" applyNumberFormat="1" applyFont="1" applyFill="1" applyBorder="1" applyAlignment="1" applyProtection="1"/>
    <xf numFmtId="0" fontId="2" fillId="9" borderId="16" xfId="0" applyNumberFormat="1" applyFont="1" applyFill="1" applyBorder="1" applyAlignment="1" applyProtection="1"/>
    <xf numFmtId="0" fontId="2" fillId="2" borderId="20" xfId="0" applyNumberFormat="1" applyFont="1" applyFill="1" applyBorder="1" applyAlignment="1" applyProtection="1"/>
    <xf numFmtId="0" fontId="2" fillId="2" borderId="65" xfId="0" applyNumberFormat="1" applyFont="1" applyFill="1" applyBorder="1" applyAlignment="1" applyProtection="1">
      <alignment horizontal="left"/>
    </xf>
    <xf numFmtId="0" fontId="2" fillId="9" borderId="16" xfId="0" applyNumberFormat="1" applyFont="1" applyFill="1" applyBorder="1" applyAlignment="1" applyProtection="1">
      <alignment horizontal="left"/>
    </xf>
    <xf numFmtId="0" fontId="2" fillId="2" borderId="20" xfId="0" applyNumberFormat="1" applyFont="1" applyFill="1" applyBorder="1" applyAlignment="1" applyProtection="1">
      <alignment horizontal="left"/>
    </xf>
    <xf numFmtId="0" fontId="2" fillId="2" borderId="62" xfId="0" applyNumberFormat="1" applyFont="1" applyFill="1" applyBorder="1" applyAlignment="1" applyProtection="1"/>
    <xf numFmtId="0" fontId="2" fillId="2" borderId="45" xfId="0" applyNumberFormat="1" applyFont="1" applyFill="1" applyBorder="1" applyAlignment="1" applyProtection="1"/>
    <xf numFmtId="0" fontId="2" fillId="2" borderId="23" xfId="0" applyNumberFormat="1" applyFont="1" applyFill="1" applyBorder="1" applyAlignment="1" applyProtection="1"/>
    <xf numFmtId="0" fontId="2" fillId="2" borderId="100" xfId="0" applyNumberFormat="1" applyFont="1" applyFill="1" applyBorder="1" applyAlignment="1" applyProtection="1"/>
    <xf numFmtId="0" fontId="2" fillId="2" borderId="58" xfId="0" applyNumberFormat="1" applyFont="1" applyFill="1" applyBorder="1" applyAlignment="1" applyProtection="1"/>
    <xf numFmtId="0" fontId="2" fillId="2" borderId="71" xfId="0" applyNumberFormat="1" applyFont="1" applyFill="1" applyBorder="1" applyAlignment="1" applyProtection="1"/>
    <xf numFmtId="0" fontId="2" fillId="0" borderId="65"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2" fillId="0" borderId="20" xfId="0" applyNumberFormat="1" applyFont="1" applyBorder="1" applyAlignment="1" applyProtection="1">
      <alignment horizontal="left"/>
    </xf>
    <xf numFmtId="0" fontId="2" fillId="9" borderId="2" xfId="0" applyNumberFormat="1" applyFont="1" applyFill="1" applyBorder="1" applyAlignment="1" applyProtection="1">
      <alignment horizontal="left"/>
    </xf>
    <xf numFmtId="0" fontId="2" fillId="0" borderId="100" xfId="0" applyNumberFormat="1" applyFont="1" applyBorder="1" applyAlignment="1" applyProtection="1"/>
    <xf numFmtId="0" fontId="0" fillId="0" borderId="58" xfId="0" applyBorder="1" applyAlignment="1"/>
    <xf numFmtId="0" fontId="0" fillId="0" borderId="101" xfId="0" applyBorder="1" applyAlignment="1"/>
    <xf numFmtId="0" fontId="3" fillId="0" borderId="2" xfId="0" applyFont="1" applyBorder="1" applyAlignment="1" applyProtection="1">
      <alignment horizontal="right"/>
    </xf>
    <xf numFmtId="0" fontId="3" fillId="0" borderId="16" xfId="0" applyFont="1" applyBorder="1" applyAlignment="1" applyProtection="1">
      <alignment horizontal="right"/>
    </xf>
    <xf numFmtId="0" fontId="2" fillId="0" borderId="16" xfId="0" applyFont="1" applyBorder="1" applyAlignment="1" applyProtection="1">
      <alignment horizontal="left" vertical="center"/>
    </xf>
    <xf numFmtId="0" fontId="2" fillId="0" borderId="20" xfId="0" applyFont="1" applyBorder="1" applyAlignment="1" applyProtection="1">
      <alignment horizontal="left" vertical="center"/>
    </xf>
    <xf numFmtId="0" fontId="3" fillId="0" borderId="45" xfId="0" applyNumberFormat="1" applyFont="1" applyBorder="1" applyAlignment="1" applyProtection="1">
      <alignment horizontal="center"/>
    </xf>
    <xf numFmtId="0" fontId="3" fillId="0" borderId="23" xfId="0" applyNumberFormat="1" applyFont="1" applyBorder="1" applyAlignment="1" applyProtection="1">
      <alignment horizontal="center"/>
    </xf>
    <xf numFmtId="0" fontId="2" fillId="0" borderId="2" xfId="0" applyFont="1" applyFill="1" applyBorder="1" applyAlignment="1" applyProtection="1">
      <alignment horizontal="left"/>
    </xf>
    <xf numFmtId="0" fontId="2" fillId="0" borderId="20" xfId="0" applyFont="1" applyFill="1" applyBorder="1" applyAlignment="1" applyProtection="1">
      <alignment horizontal="left"/>
    </xf>
    <xf numFmtId="0" fontId="3" fillId="0" borderId="47" xfId="0" applyNumberFormat="1" applyFont="1" applyBorder="1" applyAlignment="1" applyProtection="1">
      <alignment horizontal="left"/>
    </xf>
    <xf numFmtId="0" fontId="2" fillId="0" borderId="2" xfId="0" applyFont="1" applyBorder="1" applyAlignment="1" applyProtection="1">
      <alignment horizontal="left" vertical="center"/>
    </xf>
    <xf numFmtId="0" fontId="2" fillId="0" borderId="20" xfId="0" applyFont="1" applyBorder="1" applyAlignment="1" applyProtection="1">
      <alignment horizontal="left" vertical="center" wrapText="1"/>
    </xf>
    <xf numFmtId="2" fontId="2" fillId="0" borderId="2" xfId="0" applyNumberFormat="1" applyFont="1" applyBorder="1" applyAlignment="1" applyProtection="1">
      <alignment horizontal="left" vertical="center" wrapText="1"/>
    </xf>
    <xf numFmtId="0" fontId="2" fillId="0" borderId="16" xfId="0" applyFont="1" applyBorder="1" applyAlignment="1">
      <alignment vertical="center"/>
    </xf>
    <xf numFmtId="0" fontId="2" fillId="0" borderId="20" xfId="0" applyFont="1" applyBorder="1" applyAlignment="1">
      <alignment vertical="center"/>
    </xf>
    <xf numFmtId="0" fontId="28" fillId="3" borderId="0" xfId="0" applyNumberFormat="1" applyFont="1" applyFill="1" applyBorder="1" applyAlignment="1" applyProtection="1">
      <alignment horizontal="justify" vertical="top"/>
      <protection locked="0"/>
    </xf>
    <xf numFmtId="0" fontId="28" fillId="16" borderId="2" xfId="0" applyNumberFormat="1" applyFont="1" applyFill="1" applyBorder="1" applyAlignment="1" applyProtection="1">
      <alignment horizontal="justify" vertical="top"/>
      <protection locked="0"/>
    </xf>
    <xf numFmtId="0" fontId="28" fillId="16" borderId="16" xfId="0" applyNumberFormat="1" applyFont="1" applyFill="1" applyBorder="1" applyAlignment="1" applyProtection="1">
      <alignment horizontal="justify" vertical="top"/>
      <protection locked="0"/>
    </xf>
    <xf numFmtId="0" fontId="28" fillId="16" borderId="66" xfId="0" applyNumberFormat="1" applyFont="1" applyFill="1" applyBorder="1" applyAlignment="1" applyProtection="1">
      <alignment horizontal="justify" vertical="top"/>
      <protection locked="0"/>
    </xf>
    <xf numFmtId="0" fontId="28" fillId="0" borderId="0" xfId="0" applyNumberFormat="1" applyFont="1" applyFill="1" applyBorder="1" applyAlignment="1" applyProtection="1">
      <alignment horizontal="justify" vertical="top"/>
      <protection locked="0"/>
    </xf>
    <xf numFmtId="0" fontId="28" fillId="16" borderId="19" xfId="0" applyNumberFormat="1" applyFont="1" applyFill="1" applyBorder="1" applyAlignment="1" applyProtection="1">
      <alignment horizontal="justify" vertical="top"/>
      <protection locked="0"/>
    </xf>
    <xf numFmtId="0" fontId="28" fillId="16" borderId="43" xfId="0" applyNumberFormat="1" applyFont="1" applyFill="1" applyBorder="1" applyAlignment="1" applyProtection="1">
      <alignment horizontal="justify" vertical="top"/>
      <protection locked="0"/>
    </xf>
    <xf numFmtId="0" fontId="28" fillId="16" borderId="68" xfId="0" applyNumberFormat="1" applyFont="1" applyFill="1" applyBorder="1" applyAlignment="1" applyProtection="1">
      <alignment horizontal="justify" vertical="top"/>
      <protection locked="0"/>
    </xf>
    <xf numFmtId="49" fontId="28" fillId="16" borderId="2" xfId="0" applyNumberFormat="1" applyFont="1" applyFill="1" applyBorder="1" applyAlignment="1" applyProtection="1">
      <alignment horizontal="justify" vertical="top"/>
      <protection locked="0"/>
    </xf>
    <xf numFmtId="49" fontId="28" fillId="16" borderId="16" xfId="0" applyNumberFormat="1" applyFont="1" applyFill="1" applyBorder="1" applyAlignment="1" applyProtection="1">
      <alignment horizontal="justify" vertical="top"/>
      <protection locked="0"/>
    </xf>
    <xf numFmtId="49" fontId="28" fillId="16" borderId="66" xfId="0" applyNumberFormat="1" applyFont="1" applyFill="1" applyBorder="1" applyAlignment="1" applyProtection="1">
      <alignment horizontal="justify" vertical="top"/>
      <protection locked="0"/>
    </xf>
    <xf numFmtId="49" fontId="28" fillId="16" borderId="19" xfId="0" applyNumberFormat="1" applyFont="1" applyFill="1" applyBorder="1" applyAlignment="1" applyProtection="1">
      <alignment horizontal="justify" vertical="top"/>
      <protection locked="0"/>
    </xf>
    <xf numFmtId="49" fontId="28" fillId="16" borderId="43" xfId="0" applyNumberFormat="1" applyFont="1" applyFill="1" applyBorder="1" applyAlignment="1" applyProtection="1">
      <alignment horizontal="justify" vertical="top"/>
      <protection locked="0"/>
    </xf>
    <xf numFmtId="49" fontId="28" fillId="16" borderId="68" xfId="0" applyNumberFormat="1" applyFont="1" applyFill="1" applyBorder="1" applyAlignment="1" applyProtection="1">
      <alignment horizontal="justify" vertical="top"/>
      <protection locked="0"/>
    </xf>
    <xf numFmtId="49" fontId="28" fillId="16" borderId="70" xfId="0" applyNumberFormat="1" applyFont="1" applyFill="1" applyBorder="1" applyAlignment="1" applyProtection="1">
      <alignment horizontal="justify" vertical="top"/>
      <protection locked="0"/>
    </xf>
    <xf numFmtId="49" fontId="28" fillId="16" borderId="58" xfId="0" applyNumberFormat="1" applyFont="1" applyFill="1" applyBorder="1" applyAlignment="1" applyProtection="1">
      <alignment horizontal="justify" vertical="top"/>
      <protection locked="0"/>
    </xf>
    <xf numFmtId="49" fontId="28" fillId="16" borderId="101" xfId="0" applyNumberFormat="1" applyFont="1" applyFill="1" applyBorder="1" applyAlignment="1" applyProtection="1">
      <alignment horizontal="justify" vertical="top"/>
      <protection locked="0"/>
    </xf>
    <xf numFmtId="49" fontId="28" fillId="16" borderId="18" xfId="0" applyNumberFormat="1" applyFont="1" applyFill="1" applyBorder="1" applyAlignment="1" applyProtection="1">
      <alignment horizontal="justify" vertical="top"/>
      <protection locked="0"/>
    </xf>
    <xf numFmtId="49" fontId="28" fillId="16" borderId="45" xfId="0" applyNumberFormat="1" applyFont="1" applyFill="1" applyBorder="1" applyAlignment="1" applyProtection="1">
      <alignment horizontal="justify" vertical="top"/>
      <protection locked="0"/>
    </xf>
    <xf numFmtId="49" fontId="28" fillId="16" borderId="64" xfId="0" applyNumberFormat="1" applyFont="1" applyFill="1" applyBorder="1" applyAlignment="1" applyProtection="1">
      <alignment horizontal="justify" vertical="top"/>
      <protection locked="0"/>
    </xf>
    <xf numFmtId="0" fontId="28" fillId="16" borderId="18" xfId="0" applyNumberFormat="1" applyFont="1" applyFill="1" applyBorder="1" applyAlignment="1" applyProtection="1">
      <alignment horizontal="justify" vertical="top"/>
      <protection locked="0"/>
    </xf>
    <xf numFmtId="0" fontId="28" fillId="16" borderId="45" xfId="0" applyNumberFormat="1" applyFont="1" applyFill="1" applyBorder="1" applyAlignment="1" applyProtection="1">
      <alignment horizontal="justify" vertical="top"/>
      <protection locked="0"/>
    </xf>
    <xf numFmtId="0" fontId="28" fillId="16" borderId="64" xfId="0" applyNumberFormat="1" applyFont="1" applyFill="1" applyBorder="1" applyAlignment="1" applyProtection="1">
      <alignment horizontal="justify" vertical="top"/>
      <protection locked="0"/>
    </xf>
    <xf numFmtId="49" fontId="28" fillId="16" borderId="70" xfId="0" applyNumberFormat="1" applyFont="1" applyFill="1" applyBorder="1" applyAlignment="1" applyProtection="1">
      <alignment vertical="justify"/>
      <protection locked="0"/>
    </xf>
    <xf numFmtId="49" fontId="28" fillId="16" borderId="58" xfId="0" applyNumberFormat="1" applyFont="1" applyFill="1" applyBorder="1" applyAlignment="1" applyProtection="1">
      <alignment vertical="justify"/>
      <protection locked="0"/>
    </xf>
    <xf numFmtId="49" fontId="28" fillId="16" borderId="101" xfId="0" applyNumberFormat="1" applyFont="1" applyFill="1" applyBorder="1" applyAlignment="1" applyProtection="1">
      <alignment vertical="justify"/>
      <protection locked="0"/>
    </xf>
    <xf numFmtId="49" fontId="36" fillId="16" borderId="16" xfId="0" applyNumberFormat="1" applyFont="1" applyFill="1" applyBorder="1" applyAlignment="1" applyProtection="1">
      <alignment horizontal="justify" vertical="top"/>
      <protection locked="0"/>
    </xf>
    <xf numFmtId="49" fontId="36" fillId="16" borderId="66" xfId="0" applyNumberFormat="1" applyFont="1" applyFill="1" applyBorder="1" applyAlignment="1" applyProtection="1">
      <alignment horizontal="justify" vertical="top"/>
      <protection locked="0"/>
    </xf>
    <xf numFmtId="49" fontId="28" fillId="16" borderId="70" xfId="0" quotePrefix="1" applyNumberFormat="1" applyFont="1" applyFill="1" applyBorder="1" applyAlignment="1" applyProtection="1">
      <alignment vertical="justify"/>
      <protection locked="0"/>
    </xf>
    <xf numFmtId="0" fontId="3" fillId="8" borderId="62" xfId="0" applyNumberFormat="1" applyFont="1" applyFill="1" applyBorder="1" applyAlignment="1" applyProtection="1">
      <alignment horizontal="center" vertical="center" textRotation="90"/>
    </xf>
    <xf numFmtId="0" fontId="3" fillId="8" borderId="65" xfId="0" applyNumberFormat="1" applyFont="1" applyFill="1" applyBorder="1" applyAlignment="1" applyProtection="1">
      <alignment horizontal="center" vertical="center" textRotation="90"/>
    </xf>
    <xf numFmtId="0" fontId="3" fillId="8" borderId="67" xfId="0" applyNumberFormat="1" applyFont="1" applyFill="1" applyBorder="1" applyAlignment="1" applyProtection="1">
      <alignment horizontal="center" vertical="center" textRotation="90"/>
    </xf>
    <xf numFmtId="0" fontId="2" fillId="2" borderId="70" xfId="0" applyFont="1" applyFill="1" applyBorder="1" applyAlignment="1" applyProtection="1">
      <alignment horizontal="left" vertical="center"/>
    </xf>
    <xf numFmtId="0" fontId="2" fillId="2" borderId="58" xfId="0" applyFont="1" applyFill="1" applyBorder="1" applyAlignment="1" applyProtection="1">
      <alignment horizontal="left" vertical="center"/>
    </xf>
    <xf numFmtId="0" fontId="2" fillId="2" borderId="71" xfId="0" applyFont="1" applyFill="1" applyBorder="1" applyAlignment="1" applyProtection="1">
      <alignment horizontal="left" vertical="center"/>
    </xf>
    <xf numFmtId="0" fontId="3" fillId="8" borderId="15" xfId="0" applyNumberFormat="1" applyFont="1" applyFill="1" applyBorder="1" applyAlignment="1" applyProtection="1">
      <alignment horizontal="center" vertical="center" textRotation="90"/>
    </xf>
    <xf numFmtId="0" fontId="3" fillId="8" borderId="50" xfId="0" applyNumberFormat="1" applyFont="1" applyFill="1" applyBorder="1" applyAlignment="1" applyProtection="1">
      <alignment horizontal="center" vertical="center" textRotation="90"/>
    </xf>
    <xf numFmtId="0" fontId="3" fillId="8" borderId="81" xfId="0" applyNumberFormat="1" applyFont="1" applyFill="1" applyBorder="1" applyAlignment="1" applyProtection="1">
      <alignment horizontal="center" vertical="center" textRotation="90"/>
    </xf>
    <xf numFmtId="0" fontId="3" fillId="8" borderId="51" xfId="0" applyNumberFormat="1" applyFont="1" applyFill="1" applyBorder="1" applyAlignment="1" applyProtection="1">
      <alignment horizontal="center" vertical="center" textRotation="90"/>
    </xf>
    <xf numFmtId="0" fontId="3" fillId="8" borderId="53" xfId="0" applyNumberFormat="1" applyFont="1" applyFill="1" applyBorder="1" applyAlignment="1" applyProtection="1">
      <alignment horizontal="center" vertical="center" textRotation="90"/>
    </xf>
    <xf numFmtId="0" fontId="3" fillId="8" borderId="46" xfId="0" applyNumberFormat="1" applyFont="1" applyFill="1" applyBorder="1" applyAlignment="1" applyProtection="1">
      <alignment horizontal="center" vertical="center" textRotation="90"/>
    </xf>
    <xf numFmtId="0" fontId="2" fillId="2" borderId="2" xfId="0" applyFont="1" applyFill="1" applyBorder="1" applyAlignment="1" applyProtection="1">
      <alignment horizontal="left"/>
    </xf>
    <xf numFmtId="0" fontId="2" fillId="2" borderId="20" xfId="0" applyFont="1" applyFill="1" applyBorder="1" applyAlignment="1" applyProtection="1">
      <alignment horizontal="left"/>
    </xf>
    <xf numFmtId="0" fontId="10" fillId="0" borderId="113"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114" xfId="0" applyFont="1" applyFill="1" applyBorder="1" applyAlignment="1" applyProtection="1">
      <alignment horizontal="left"/>
    </xf>
    <xf numFmtId="0" fontId="10" fillId="0" borderId="118" xfId="0" applyFont="1" applyFill="1" applyBorder="1" applyAlignment="1" applyProtection="1">
      <alignment horizontal="left"/>
    </xf>
    <xf numFmtId="0" fontId="10" fillId="0" borderId="117" xfId="0" applyFont="1" applyFill="1" applyBorder="1" applyAlignment="1" applyProtection="1">
      <alignment horizontal="left"/>
    </xf>
    <xf numFmtId="16" fontId="2" fillId="8" borderId="118" xfId="0" applyNumberFormat="1" applyFont="1" applyFill="1" applyBorder="1" applyAlignment="1" applyProtection="1">
      <alignment horizontal="left"/>
    </xf>
    <xf numFmtId="16" fontId="2" fillId="8" borderId="118" xfId="0" quotePrefix="1" applyNumberFormat="1" applyFont="1" applyFill="1" applyBorder="1" applyAlignment="1" applyProtection="1">
      <alignment horizontal="left"/>
    </xf>
    <xf numFmtId="0" fontId="3" fillId="0" borderId="0" xfId="0" applyFont="1" applyFill="1" applyBorder="1" applyAlignment="1" applyProtection="1">
      <alignment horizontal="left" vertical="justify"/>
    </xf>
    <xf numFmtId="0" fontId="2" fillId="0" borderId="0"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3" fillId="0" borderId="117" xfId="0" applyNumberFormat="1" applyFont="1" applyFill="1" applyBorder="1" applyAlignment="1" applyProtection="1">
      <alignment horizontal="left"/>
    </xf>
    <xf numFmtId="0" fontId="3" fillId="8" borderId="115"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113" xfId="0" applyFont="1" applyFill="1" applyBorder="1" applyAlignment="1" applyProtection="1">
      <alignment horizontal="left"/>
    </xf>
    <xf numFmtId="0" fontId="10" fillId="0" borderId="118" xfId="0" applyNumberFormat="1" applyFont="1" applyFill="1" applyBorder="1" applyAlignment="1" applyProtection="1">
      <alignment horizontal="left"/>
    </xf>
    <xf numFmtId="0" fontId="10" fillId="0" borderId="114" xfId="0" applyNumberFormat="1" applyFont="1" applyFill="1" applyBorder="1" applyAlignment="1" applyProtection="1">
      <alignment horizontal="left"/>
    </xf>
    <xf numFmtId="0" fontId="11" fillId="0" borderId="0" xfId="0" applyFont="1" applyFill="1" applyBorder="1" applyAlignment="1" applyProtection="1">
      <alignment horizontal="center" wrapText="1"/>
    </xf>
    <xf numFmtId="0" fontId="11" fillId="0" borderId="116" xfId="0" applyFont="1" applyFill="1" applyBorder="1" applyAlignment="1" applyProtection="1">
      <alignment horizontal="left" wrapText="1"/>
    </xf>
    <xf numFmtId="0" fontId="11" fillId="0" borderId="0" xfId="0" applyFont="1" applyFill="1" applyBorder="1" applyAlignment="1" applyProtection="1">
      <alignment horizontal="left" wrapText="1"/>
    </xf>
    <xf numFmtId="16" fontId="2" fillId="0" borderId="89" xfId="0" applyNumberFormat="1" applyFont="1" applyFill="1" applyBorder="1" applyAlignment="1" applyProtection="1">
      <alignment horizontal="center"/>
    </xf>
    <xf numFmtId="16" fontId="2" fillId="0" borderId="20" xfId="0" quotePrefix="1" applyNumberFormat="1" applyFont="1" applyFill="1" applyBorder="1" applyAlignment="1" applyProtection="1">
      <alignment horizontal="center"/>
    </xf>
    <xf numFmtId="3" fontId="21" fillId="0" borderId="65" xfId="0" applyNumberFormat="1" applyFont="1" applyFill="1" applyBorder="1" applyAlignment="1" applyProtection="1">
      <alignment horizontal="right" wrapText="1"/>
    </xf>
    <xf numFmtId="3" fontId="21" fillId="0" borderId="94" xfId="0" applyNumberFormat="1" applyFont="1" applyFill="1" applyBorder="1" applyAlignment="1" applyProtection="1">
      <alignment horizontal="right" wrapText="1"/>
    </xf>
    <xf numFmtId="0" fontId="17" fillId="0" borderId="89" xfId="0" applyFont="1" applyBorder="1" applyAlignment="1" applyProtection="1"/>
    <xf numFmtId="0" fontId="17" fillId="0" borderId="16" xfId="0" applyFont="1" applyBorder="1" applyAlignment="1" applyProtection="1"/>
    <xf numFmtId="16" fontId="2" fillId="0" borderId="97" xfId="0" applyNumberFormat="1" applyFont="1" applyFill="1" applyBorder="1" applyAlignment="1" applyProtection="1">
      <alignment horizontal="center"/>
    </xf>
    <xf numFmtId="16" fontId="2" fillId="0" borderId="31" xfId="0" quotePrefix="1" applyNumberFormat="1" applyFont="1" applyFill="1" applyBorder="1" applyAlignment="1" applyProtection="1">
      <alignment horizontal="center"/>
    </xf>
    <xf numFmtId="0" fontId="21" fillId="0" borderId="89" xfId="0" applyFont="1" applyBorder="1" applyAlignment="1" applyProtection="1">
      <alignment wrapText="1"/>
    </xf>
    <xf numFmtId="0" fontId="21" fillId="0" borderId="16" xfId="0" applyFont="1" applyBorder="1" applyAlignment="1" applyProtection="1">
      <alignment wrapText="1"/>
    </xf>
    <xf numFmtId="0" fontId="17" fillId="0" borderId="106" xfId="0" applyNumberFormat="1" applyFont="1" applyFill="1" applyBorder="1" applyAlignment="1" applyProtection="1">
      <alignment horizontal="left"/>
    </xf>
    <xf numFmtId="0" fontId="17" fillId="0" borderId="107" xfId="0" applyNumberFormat="1" applyFont="1" applyFill="1" applyBorder="1" applyAlignment="1" applyProtection="1">
      <alignment horizontal="left"/>
    </xf>
    <xf numFmtId="3" fontId="21" fillId="0" borderId="25" xfId="0" applyNumberFormat="1" applyFont="1" applyFill="1" applyBorder="1" applyAlignment="1" applyProtection="1">
      <alignment horizontal="center" wrapText="1"/>
    </xf>
    <xf numFmtId="3" fontId="21" fillId="0" borderId="38" xfId="0" applyNumberFormat="1" applyFont="1" applyFill="1" applyBorder="1" applyAlignment="1" applyProtection="1">
      <alignment horizontal="center" wrapText="1"/>
    </xf>
    <xf numFmtId="3" fontId="21" fillId="0" borderId="102" xfId="0" applyNumberFormat="1" applyFont="1" applyFill="1" applyBorder="1" applyAlignment="1" applyProtection="1">
      <alignment horizontal="center" wrapText="1"/>
    </xf>
    <xf numFmtId="3" fontId="21" fillId="0" borderId="2" xfId="0" applyNumberFormat="1" applyFont="1" applyFill="1" applyBorder="1" applyAlignment="1" applyProtection="1">
      <alignment horizontal="center" wrapText="1"/>
    </xf>
    <xf numFmtId="3" fontId="21" fillId="0" borderId="16" xfId="0" applyNumberFormat="1" applyFont="1" applyFill="1" applyBorder="1" applyAlignment="1" applyProtection="1">
      <alignment horizontal="center" wrapText="1"/>
    </xf>
    <xf numFmtId="3" fontId="21" fillId="0" borderId="94" xfId="0" applyNumberFormat="1" applyFont="1" applyFill="1" applyBorder="1" applyAlignment="1" applyProtection="1">
      <alignment horizontal="center" wrapText="1"/>
    </xf>
    <xf numFmtId="3" fontId="21" fillId="0" borderId="19" xfId="0" applyNumberFormat="1" applyFont="1" applyFill="1" applyBorder="1" applyAlignment="1" applyProtection="1">
      <alignment horizontal="center" wrapText="1"/>
    </xf>
    <xf numFmtId="3" fontId="21" fillId="0" borderId="43" xfId="0" applyNumberFormat="1" applyFont="1" applyFill="1" applyBorder="1" applyAlignment="1" applyProtection="1">
      <alignment horizontal="center" wrapText="1"/>
    </xf>
    <xf numFmtId="3" fontId="21" fillId="0" borderId="105" xfId="0" applyNumberFormat="1" applyFont="1" applyFill="1" applyBorder="1" applyAlignment="1" applyProtection="1">
      <alignment horizontal="center" wrapText="1"/>
    </xf>
    <xf numFmtId="3" fontId="21" fillId="0" borderId="110" xfId="0" applyNumberFormat="1" applyFont="1" applyFill="1" applyBorder="1" applyAlignment="1" applyProtection="1">
      <alignment horizontal="center" wrapText="1"/>
    </xf>
    <xf numFmtId="3" fontId="21" fillId="0" borderId="107" xfId="0" applyNumberFormat="1" applyFont="1" applyFill="1" applyBorder="1" applyAlignment="1" applyProtection="1">
      <alignment horizontal="center" wrapText="1"/>
    </xf>
    <xf numFmtId="3" fontId="21" fillId="0" borderId="108" xfId="0" applyNumberFormat="1" applyFont="1" applyFill="1" applyBorder="1" applyAlignment="1" applyProtection="1">
      <alignment horizontal="center" wrapText="1"/>
    </xf>
    <xf numFmtId="0" fontId="17" fillId="0" borderId="89" xfId="0" applyFont="1" applyFill="1" applyBorder="1" applyAlignment="1" applyProtection="1">
      <alignment horizontal="left"/>
    </xf>
    <xf numFmtId="0" fontId="17" fillId="0" borderId="16" xfId="0" applyFont="1" applyFill="1" applyBorder="1" applyAlignment="1" applyProtection="1">
      <alignment horizontal="left"/>
    </xf>
    <xf numFmtId="0" fontId="17" fillId="0" borderId="96" xfId="0" applyNumberFormat="1" applyFont="1" applyFill="1" applyBorder="1" applyAlignment="1" applyProtection="1">
      <alignment horizontal="left"/>
    </xf>
    <xf numFmtId="0" fontId="17" fillId="0" borderId="43" xfId="0" applyNumberFormat="1" applyFont="1" applyFill="1" applyBorder="1" applyAlignment="1" applyProtection="1">
      <alignment horizontal="left"/>
    </xf>
    <xf numFmtId="16" fontId="3" fillId="8" borderId="87" xfId="0" applyNumberFormat="1" applyFont="1" applyFill="1" applyBorder="1" applyAlignment="1" applyProtection="1">
      <alignment horizontal="left"/>
    </xf>
    <xf numFmtId="16" fontId="3" fillId="8" borderId="87" xfId="0" quotePrefix="1" applyNumberFormat="1" applyFont="1" applyFill="1" applyBorder="1" applyAlignment="1" applyProtection="1">
      <alignment horizontal="left"/>
    </xf>
    <xf numFmtId="0" fontId="2" fillId="0" borderId="0" xfId="0" applyNumberFormat="1" applyFont="1" applyAlignment="1" applyProtection="1">
      <alignment horizontal="center" vertical="center"/>
    </xf>
    <xf numFmtId="0" fontId="2" fillId="0" borderId="0" xfId="0" applyNumberFormat="1" applyFont="1" applyFill="1" applyAlignment="1" applyProtection="1">
      <alignment horizontal="center" vertical="center"/>
    </xf>
    <xf numFmtId="0" fontId="3" fillId="8" borderId="87" xfId="0" applyNumberFormat="1" applyFont="1" applyFill="1" applyBorder="1" applyAlignment="1" applyProtection="1">
      <alignment horizontal="left"/>
    </xf>
    <xf numFmtId="0" fontId="3" fillId="8" borderId="87" xfId="0" quotePrefix="1" applyNumberFormat="1" applyFont="1" applyFill="1" applyBorder="1" applyAlignment="1" applyProtection="1">
      <alignment horizontal="left"/>
    </xf>
    <xf numFmtId="0" fontId="2"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center"/>
    </xf>
    <xf numFmtId="0" fontId="2" fillId="0" borderId="0" xfId="0" applyNumberFormat="1" applyFont="1" applyFill="1" applyAlignment="1" applyProtection="1">
      <alignment horizontal="center" vertical="top" wrapText="1"/>
    </xf>
    <xf numFmtId="0" fontId="2" fillId="0" borderId="0" xfId="0" applyNumberFormat="1" applyFont="1" applyBorder="1" applyAlignment="1" applyProtection="1">
      <alignment horizontal="center"/>
    </xf>
    <xf numFmtId="0" fontId="10" fillId="2" borderId="115" xfId="0" applyFont="1" applyFill="1" applyBorder="1" applyAlignment="1" applyProtection="1">
      <alignment horizontal="left"/>
    </xf>
    <xf numFmtId="0" fontId="10" fillId="2" borderId="127" xfId="0" applyFont="1" applyFill="1" applyBorder="1" applyAlignment="1" applyProtection="1">
      <alignment horizontal="left"/>
    </xf>
    <xf numFmtId="0" fontId="10" fillId="2" borderId="114" xfId="0" applyFont="1" applyFill="1" applyBorder="1" applyAlignment="1" applyProtection="1">
      <alignment horizontal="left"/>
    </xf>
    <xf numFmtId="0" fontId="10" fillId="2" borderId="124" xfId="0" applyFont="1" applyFill="1" applyBorder="1" applyAlignment="1" applyProtection="1">
      <alignment horizontal="left"/>
    </xf>
    <xf numFmtId="0" fontId="10" fillId="2" borderId="113" xfId="0" applyFont="1" applyFill="1" applyBorder="1" applyAlignment="1" applyProtection="1">
      <alignment horizontal="left"/>
    </xf>
    <xf numFmtId="0" fontId="10" fillId="2" borderId="123" xfId="0" applyFont="1" applyFill="1" applyBorder="1" applyAlignment="1" applyProtection="1">
      <alignment horizontal="left"/>
    </xf>
    <xf numFmtId="0" fontId="10" fillId="2" borderId="117" xfId="0" applyFont="1" applyFill="1" applyBorder="1" applyAlignment="1" applyProtection="1">
      <alignment horizontal="left"/>
    </xf>
    <xf numFmtId="0" fontId="10" fillId="2" borderId="122" xfId="0" applyFont="1" applyFill="1" applyBorder="1" applyAlignment="1" applyProtection="1">
      <alignment horizontal="left"/>
    </xf>
    <xf numFmtId="0" fontId="10" fillId="0" borderId="117" xfId="0" applyNumberFormat="1" applyFont="1" applyBorder="1" applyAlignment="1" applyProtection="1">
      <alignment horizontal="left"/>
    </xf>
    <xf numFmtId="0" fontId="10" fillId="0" borderId="122" xfId="0" applyNumberFormat="1" applyFont="1" applyBorder="1" applyAlignment="1" applyProtection="1">
      <alignment horizontal="left"/>
    </xf>
    <xf numFmtId="0" fontId="10" fillId="2" borderId="114" xfId="0" applyNumberFormat="1" applyFont="1" applyFill="1" applyBorder="1" applyAlignment="1" applyProtection="1">
      <alignment horizontal="left"/>
    </xf>
    <xf numFmtId="0" fontId="10" fillId="2" borderId="124" xfId="0" applyNumberFormat="1" applyFont="1" applyFill="1" applyBorder="1" applyAlignment="1" applyProtection="1">
      <alignment horizontal="left"/>
    </xf>
    <xf numFmtId="0" fontId="10" fillId="0" borderId="114" xfId="0" applyNumberFormat="1" applyFont="1" applyBorder="1" applyAlignment="1" applyProtection="1">
      <alignment horizontal="left"/>
    </xf>
    <xf numFmtId="0" fontId="10" fillId="0" borderId="124" xfId="0" applyNumberFormat="1" applyFont="1" applyBorder="1" applyAlignment="1" applyProtection="1">
      <alignment horizontal="left"/>
    </xf>
    <xf numFmtId="0" fontId="10" fillId="0" borderId="115" xfId="0" applyNumberFormat="1" applyFont="1" applyBorder="1" applyAlignment="1" applyProtection="1">
      <alignment horizontal="left"/>
    </xf>
    <xf numFmtId="0" fontId="10" fillId="0" borderId="127" xfId="0" applyNumberFormat="1" applyFont="1" applyBorder="1" applyAlignment="1" applyProtection="1">
      <alignment horizontal="left"/>
    </xf>
    <xf numFmtId="3" fontId="2" fillId="0" borderId="65" xfId="0" applyNumberFormat="1" applyFont="1" applyFill="1" applyBorder="1" applyAlignment="1" applyProtection="1">
      <alignment horizontal="left" vertical="justify"/>
      <protection locked="0"/>
    </xf>
    <xf numFmtId="3" fontId="2" fillId="0" borderId="16" xfId="0" applyNumberFormat="1" applyFont="1" applyFill="1" applyBorder="1" applyAlignment="1" applyProtection="1">
      <alignment horizontal="left" vertical="justify"/>
      <protection locked="0"/>
    </xf>
    <xf numFmtId="3" fontId="2" fillId="0" borderId="66" xfId="0" applyNumberFormat="1" applyFont="1" applyFill="1" applyBorder="1" applyAlignment="1" applyProtection="1">
      <alignment horizontal="left" vertical="justify"/>
      <protection locked="0"/>
    </xf>
    <xf numFmtId="3" fontId="2" fillId="0" borderId="67" xfId="0" applyNumberFormat="1" applyFont="1" applyFill="1" applyBorder="1" applyAlignment="1" applyProtection="1">
      <alignment horizontal="left" vertical="justify"/>
      <protection locked="0"/>
    </xf>
    <xf numFmtId="3" fontId="2" fillId="0" borderId="43" xfId="0" applyNumberFormat="1" applyFont="1" applyFill="1" applyBorder="1" applyAlignment="1" applyProtection="1">
      <alignment horizontal="left" vertical="justify"/>
      <protection locked="0"/>
    </xf>
    <xf numFmtId="3" fontId="2" fillId="0" borderId="68" xfId="0" applyNumberFormat="1" applyFont="1" applyFill="1" applyBorder="1" applyAlignment="1" applyProtection="1">
      <alignment horizontal="left" vertical="justify"/>
      <protection locked="0"/>
    </xf>
    <xf numFmtId="0" fontId="2" fillId="8" borderId="65" xfId="0" applyNumberFormat="1" applyFont="1" applyFill="1" applyBorder="1" applyAlignment="1" applyProtection="1">
      <alignment horizontal="left"/>
      <protection locked="0"/>
    </xf>
    <xf numFmtId="0" fontId="2" fillId="8" borderId="16" xfId="0" applyNumberFormat="1" applyFont="1" applyFill="1" applyBorder="1" applyAlignment="1" applyProtection="1">
      <alignment horizontal="left"/>
      <protection locked="0"/>
    </xf>
    <xf numFmtId="0" fontId="2" fillId="8" borderId="66" xfId="0" applyNumberFormat="1" applyFont="1" applyFill="1" applyBorder="1" applyAlignment="1" applyProtection="1">
      <alignment horizontal="left"/>
      <protection locked="0"/>
    </xf>
    <xf numFmtId="0" fontId="2" fillId="8" borderId="67" xfId="0" applyNumberFormat="1" applyFont="1" applyFill="1" applyBorder="1" applyAlignment="1" applyProtection="1">
      <alignment horizontal="left"/>
      <protection locked="0"/>
    </xf>
    <xf numFmtId="0" fontId="2" fillId="8" borderId="43" xfId="0" applyNumberFormat="1" applyFont="1" applyFill="1" applyBorder="1" applyAlignment="1" applyProtection="1">
      <alignment horizontal="left"/>
      <protection locked="0"/>
    </xf>
    <xf numFmtId="0" fontId="2" fillId="8" borderId="68" xfId="0" applyNumberFormat="1" applyFont="1" applyFill="1" applyBorder="1" applyAlignment="1" applyProtection="1">
      <alignment horizontal="left"/>
      <protection locked="0"/>
    </xf>
    <xf numFmtId="3" fontId="2" fillId="8" borderId="100" xfId="0" applyNumberFormat="1" applyFont="1" applyFill="1" applyBorder="1" applyAlignment="1" applyProtection="1">
      <alignment horizontal="left" vertical="top"/>
      <protection locked="0"/>
    </xf>
    <xf numFmtId="3" fontId="2" fillId="8" borderId="58" xfId="0" applyNumberFormat="1" applyFont="1" applyFill="1" applyBorder="1" applyAlignment="1" applyProtection="1">
      <alignment horizontal="left" vertical="top"/>
      <protection locked="0"/>
    </xf>
    <xf numFmtId="3" fontId="2" fillId="8" borderId="101" xfId="0" applyNumberFormat="1" applyFont="1" applyFill="1" applyBorder="1" applyAlignment="1" applyProtection="1">
      <alignment horizontal="left" vertical="top"/>
      <protection locked="0"/>
    </xf>
    <xf numFmtId="3" fontId="2" fillId="0" borderId="62" xfId="0" applyNumberFormat="1" applyFont="1" applyFill="1" applyBorder="1" applyAlignment="1" applyProtection="1">
      <alignment horizontal="left" vertical="justify"/>
      <protection locked="0"/>
    </xf>
    <xf numFmtId="3" fontId="2" fillId="0" borderId="45" xfId="0" applyNumberFormat="1" applyFont="1" applyFill="1" applyBorder="1" applyAlignment="1" applyProtection="1">
      <alignment horizontal="left" vertical="justify"/>
      <protection locked="0"/>
    </xf>
    <xf numFmtId="3" fontId="2" fillId="0" borderId="64" xfId="0" applyNumberFormat="1" applyFont="1" applyFill="1" applyBorder="1" applyAlignment="1" applyProtection="1">
      <alignment horizontal="left" vertical="justify"/>
      <protection locked="0"/>
    </xf>
    <xf numFmtId="0" fontId="2" fillId="8" borderId="62" xfId="0" applyNumberFormat="1" applyFont="1" applyFill="1" applyBorder="1" applyAlignment="1" applyProtection="1">
      <alignment horizontal="left"/>
      <protection locked="0"/>
    </xf>
    <xf numFmtId="0" fontId="2" fillId="8" borderId="45" xfId="0" applyNumberFormat="1" applyFont="1" applyFill="1" applyBorder="1" applyAlignment="1" applyProtection="1">
      <alignment horizontal="left"/>
      <protection locked="0"/>
    </xf>
    <xf numFmtId="0" fontId="2" fillId="8" borderId="64" xfId="0" applyNumberFormat="1" applyFont="1" applyFill="1" applyBorder="1" applyAlignment="1" applyProtection="1">
      <alignment horizontal="left"/>
      <protection locked="0"/>
    </xf>
    <xf numFmtId="0" fontId="2" fillId="8" borderId="67" xfId="0" applyNumberFormat="1" applyFont="1" applyFill="1" applyBorder="1" applyAlignment="1" applyProtection="1">
      <alignment horizontal="left"/>
    </xf>
    <xf numFmtId="0" fontId="2" fillId="8" borderId="43" xfId="0" applyNumberFormat="1" applyFont="1" applyFill="1" applyBorder="1" applyAlignment="1" applyProtection="1">
      <alignment horizontal="left"/>
    </xf>
    <xf numFmtId="0" fontId="2" fillId="8" borderId="68" xfId="0" applyNumberFormat="1" applyFont="1" applyFill="1" applyBorder="1" applyAlignment="1" applyProtection="1">
      <alignment horizontal="left"/>
    </xf>
    <xf numFmtId="0" fontId="2" fillId="8" borderId="100" xfId="0" applyNumberFormat="1" applyFont="1" applyFill="1" applyBorder="1" applyAlignment="1" applyProtection="1">
      <alignment horizontal="left"/>
      <protection locked="0"/>
    </xf>
    <xf numFmtId="0" fontId="2" fillId="8" borderId="58" xfId="0" applyNumberFormat="1" applyFont="1" applyFill="1" applyBorder="1" applyAlignment="1" applyProtection="1">
      <alignment horizontal="left"/>
      <protection locked="0"/>
    </xf>
    <xf numFmtId="0" fontId="2" fillId="8" borderId="101" xfId="0" applyNumberFormat="1" applyFont="1" applyFill="1" applyBorder="1" applyAlignment="1" applyProtection="1">
      <alignment horizontal="left"/>
      <protection locked="0"/>
    </xf>
    <xf numFmtId="0" fontId="2" fillId="0" borderId="65" xfId="0" applyNumberFormat="1" applyFont="1" applyFill="1" applyBorder="1" applyAlignment="1" applyProtection="1">
      <alignment horizontal="left"/>
    </xf>
    <xf numFmtId="0" fontId="2" fillId="0" borderId="16" xfId="0" applyNumberFormat="1" applyFont="1" applyFill="1" applyBorder="1" applyAlignment="1" applyProtection="1">
      <alignment horizontal="left"/>
    </xf>
    <xf numFmtId="0" fontId="2" fillId="0" borderId="20" xfId="0" applyNumberFormat="1" applyFont="1" applyFill="1" applyBorder="1" applyAlignment="1" applyProtection="1">
      <alignment horizontal="left"/>
    </xf>
    <xf numFmtId="0" fontId="2" fillId="0" borderId="2" xfId="0" applyNumberFormat="1" applyFont="1" applyBorder="1" applyAlignment="1" applyProtection="1">
      <alignment horizontal="left"/>
    </xf>
    <xf numFmtId="0" fontId="2" fillId="0" borderId="67" xfId="0" applyNumberFormat="1" applyFont="1" applyFill="1" applyBorder="1" applyAlignment="1" applyProtection="1">
      <alignment horizontal="left"/>
    </xf>
    <xf numFmtId="0" fontId="2" fillId="0" borderId="43" xfId="0" applyNumberFormat="1" applyFont="1" applyFill="1" applyBorder="1" applyAlignment="1" applyProtection="1">
      <alignment horizontal="left"/>
    </xf>
    <xf numFmtId="0" fontId="2" fillId="0" borderId="24" xfId="0" applyNumberFormat="1" applyFont="1" applyFill="1" applyBorder="1" applyAlignment="1" applyProtection="1">
      <alignment horizontal="left"/>
    </xf>
    <xf numFmtId="0" fontId="2" fillId="0" borderId="19" xfId="0" applyNumberFormat="1" applyFont="1" applyBorder="1" applyAlignment="1" applyProtection="1">
      <alignment horizontal="left"/>
    </xf>
    <xf numFmtId="0" fontId="2" fillId="0" borderId="43" xfId="0" applyNumberFormat="1" applyFont="1" applyBorder="1" applyAlignment="1" applyProtection="1">
      <alignment horizontal="left"/>
    </xf>
    <xf numFmtId="0" fontId="2" fillId="0" borderId="62" xfId="0" applyNumberFormat="1" applyFont="1" applyFill="1" applyBorder="1" applyAlignment="1" applyProtection="1">
      <alignment horizontal="left"/>
    </xf>
    <xf numFmtId="0" fontId="2" fillId="0" borderId="45" xfId="0" applyNumberFormat="1" applyFont="1" applyFill="1" applyBorder="1" applyAlignment="1" applyProtection="1">
      <alignment horizontal="left"/>
    </xf>
    <xf numFmtId="0" fontId="2" fillId="0" borderId="23" xfId="0" applyNumberFormat="1" applyFont="1" applyFill="1" applyBorder="1" applyAlignment="1" applyProtection="1">
      <alignment horizontal="left"/>
    </xf>
    <xf numFmtId="0" fontId="2" fillId="0" borderId="18" xfId="0" applyNumberFormat="1" applyFont="1" applyBorder="1" applyAlignment="1" applyProtection="1">
      <alignment horizontal="left"/>
    </xf>
    <xf numFmtId="0" fontId="2" fillId="0" borderId="45" xfId="0" applyNumberFormat="1" applyFont="1" applyBorder="1" applyAlignment="1" applyProtection="1">
      <alignment horizontal="left"/>
    </xf>
    <xf numFmtId="0" fontId="2" fillId="0" borderId="100" xfId="0" applyNumberFormat="1" applyFont="1" applyFill="1" applyBorder="1" applyAlignment="1" applyProtection="1">
      <alignment horizontal="left"/>
    </xf>
    <xf numFmtId="0" fontId="2" fillId="0" borderId="58" xfId="0" applyNumberFormat="1" applyFont="1" applyFill="1" applyBorder="1" applyAlignment="1" applyProtection="1">
      <alignment horizontal="left"/>
    </xf>
    <xf numFmtId="0" fontId="2" fillId="0" borderId="71" xfId="0" applyNumberFormat="1" applyFont="1" applyFill="1" applyBorder="1" applyAlignment="1" applyProtection="1">
      <alignment horizontal="left"/>
    </xf>
    <xf numFmtId="0" fontId="2" fillId="0" borderId="70" xfId="0" applyNumberFormat="1" applyFont="1" applyBorder="1" applyAlignment="1" applyProtection="1">
      <alignment horizontal="left"/>
    </xf>
    <xf numFmtId="0" fontId="2" fillId="0" borderId="58" xfId="0" applyNumberFormat="1" applyFont="1" applyBorder="1" applyAlignment="1" applyProtection="1">
      <alignment horizontal="left"/>
    </xf>
    <xf numFmtId="0" fontId="2" fillId="0" borderId="2" xfId="0" applyNumberFormat="1" applyFont="1" applyBorder="1" applyAlignment="1" applyProtection="1">
      <alignment horizontal="left" vertical="top"/>
    </xf>
    <xf numFmtId="0" fontId="2" fillId="0" borderId="16" xfId="0" applyNumberFormat="1" applyFont="1" applyBorder="1" applyAlignment="1" applyProtection="1">
      <alignment horizontal="left" vertical="top"/>
    </xf>
    <xf numFmtId="0" fontId="2" fillId="0" borderId="20" xfId="0" applyNumberFormat="1" applyFont="1" applyBorder="1" applyAlignment="1" applyProtection="1">
      <alignment horizontal="left" vertical="top"/>
    </xf>
    <xf numFmtId="3" fontId="2" fillId="0" borderId="2" xfId="0" applyNumberFormat="1" applyFont="1" applyFill="1" applyBorder="1" applyAlignment="1" applyProtection="1">
      <alignment horizontal="justify" vertical="top"/>
    </xf>
    <xf numFmtId="0" fontId="2" fillId="0" borderId="16" xfId="0" applyNumberFormat="1" applyFont="1" applyFill="1" applyBorder="1" applyAlignment="1" applyProtection="1">
      <alignment horizontal="justify" vertical="top"/>
    </xf>
    <xf numFmtId="0" fontId="2" fillId="0" borderId="66" xfId="0" applyNumberFormat="1" applyFont="1" applyFill="1" applyBorder="1" applyAlignment="1" applyProtection="1">
      <alignment horizontal="justify" vertical="top"/>
    </xf>
    <xf numFmtId="0" fontId="2" fillId="0" borderId="19" xfId="0" applyNumberFormat="1" applyFont="1" applyBorder="1" applyAlignment="1" applyProtection="1">
      <alignment horizontal="left" vertical="top"/>
    </xf>
    <xf numFmtId="0" fontId="2" fillId="0" borderId="43" xfId="0" applyNumberFormat="1" applyFont="1" applyBorder="1" applyAlignment="1" applyProtection="1">
      <alignment horizontal="left" vertical="top"/>
    </xf>
    <xf numFmtId="0" fontId="2" fillId="0" borderId="24" xfId="0" applyNumberFormat="1" applyFont="1" applyBorder="1" applyAlignment="1" applyProtection="1">
      <alignment horizontal="left" vertical="top"/>
    </xf>
    <xf numFmtId="3" fontId="2" fillId="0" borderId="19" xfId="0" applyNumberFormat="1" applyFont="1" applyFill="1" applyBorder="1" applyAlignment="1" applyProtection="1">
      <alignment horizontal="justify" vertical="top"/>
    </xf>
    <xf numFmtId="0" fontId="2" fillId="0" borderId="43" xfId="0" applyNumberFormat="1" applyFont="1" applyFill="1" applyBorder="1" applyAlignment="1" applyProtection="1">
      <alignment horizontal="justify" vertical="top"/>
    </xf>
    <xf numFmtId="0" fontId="2" fillId="0" borderId="68" xfId="0" applyNumberFormat="1" applyFont="1" applyFill="1" applyBorder="1" applyAlignment="1" applyProtection="1">
      <alignment horizontal="justify" vertical="top"/>
    </xf>
    <xf numFmtId="0" fontId="2" fillId="8" borderId="16" xfId="0" applyNumberFormat="1" applyFont="1" applyFill="1" applyBorder="1" applyAlignment="1" applyProtection="1">
      <alignment horizontal="left"/>
    </xf>
    <xf numFmtId="0" fontId="2" fillId="8" borderId="20" xfId="0" applyNumberFormat="1" applyFont="1" applyFill="1" applyBorder="1" applyAlignment="1" applyProtection="1">
      <alignment horizontal="left"/>
    </xf>
    <xf numFmtId="0" fontId="2" fillId="8" borderId="2" xfId="0" applyNumberFormat="1" applyFont="1" applyFill="1" applyBorder="1" applyAlignment="1" applyProtection="1">
      <alignment horizontal="left"/>
    </xf>
    <xf numFmtId="3" fontId="2" fillId="8" borderId="2" xfId="0" applyNumberFormat="1" applyFont="1" applyFill="1" applyBorder="1" applyAlignment="1" applyProtection="1">
      <alignment horizontal="justify" vertical="top"/>
    </xf>
    <xf numFmtId="0" fontId="2" fillId="8" borderId="16" xfId="0" applyNumberFormat="1" applyFont="1" applyFill="1" applyBorder="1" applyAlignment="1" applyProtection="1">
      <alignment horizontal="justify" vertical="top"/>
    </xf>
    <xf numFmtId="0" fontId="2" fillId="8" borderId="20" xfId="0" applyNumberFormat="1" applyFont="1" applyFill="1" applyBorder="1" applyAlignment="1" applyProtection="1">
      <alignment horizontal="justify" vertical="top"/>
    </xf>
    <xf numFmtId="0" fontId="2" fillId="0" borderId="18" xfId="0" applyNumberFormat="1" applyFont="1" applyBorder="1" applyAlignment="1" applyProtection="1">
      <alignment horizontal="left" vertical="top"/>
    </xf>
    <xf numFmtId="0" fontId="2" fillId="0" borderId="45" xfId="0" applyNumberFormat="1" applyFont="1" applyBorder="1" applyAlignment="1" applyProtection="1">
      <alignment horizontal="left" vertical="top"/>
    </xf>
    <xf numFmtId="0" fontId="2" fillId="0" borderId="23" xfId="0" applyNumberFormat="1" applyFont="1" applyBorder="1" applyAlignment="1" applyProtection="1">
      <alignment horizontal="left" vertical="top"/>
    </xf>
    <xf numFmtId="3" fontId="2" fillId="0" borderId="18" xfId="0" applyNumberFormat="1" applyFont="1" applyFill="1" applyBorder="1" applyAlignment="1" applyProtection="1">
      <alignment horizontal="justify" vertical="top"/>
    </xf>
    <xf numFmtId="0" fontId="2" fillId="0" borderId="45" xfId="0" applyNumberFormat="1" applyFont="1" applyFill="1" applyBorder="1" applyAlignment="1" applyProtection="1">
      <alignment horizontal="justify" vertical="top"/>
    </xf>
    <xf numFmtId="0" fontId="2" fillId="0" borderId="64" xfId="0" applyNumberFormat="1" applyFont="1" applyFill="1" applyBorder="1" applyAlignment="1" applyProtection="1">
      <alignment horizontal="justify" vertical="top"/>
    </xf>
    <xf numFmtId="0" fontId="3" fillId="8" borderId="72" xfId="0" applyNumberFormat="1" applyFont="1" applyFill="1" applyBorder="1" applyAlignment="1" applyProtection="1">
      <alignment horizontal="left"/>
    </xf>
    <xf numFmtId="0" fontId="3" fillId="8" borderId="76" xfId="0" applyNumberFormat="1" applyFont="1" applyFill="1" applyBorder="1" applyAlignment="1" applyProtection="1">
      <alignment horizontal="left"/>
    </xf>
    <xf numFmtId="0" fontId="2" fillId="8" borderId="16" xfId="0" applyNumberFormat="1" applyFont="1" applyFill="1" applyBorder="1" applyAlignment="1" applyProtection="1"/>
    <xf numFmtId="0" fontId="2" fillId="8" borderId="20" xfId="0" applyNumberFormat="1" applyFont="1" applyFill="1" applyBorder="1" applyAlignment="1" applyProtection="1"/>
    <xf numFmtId="169" fontId="2" fillId="16" borderId="16" xfId="0" applyNumberFormat="1" applyFont="1" applyFill="1" applyBorder="1" applyAlignment="1" applyProtection="1">
      <alignment horizontal="left"/>
      <protection locked="0"/>
    </xf>
    <xf numFmtId="169" fontId="2" fillId="16" borderId="20" xfId="0" applyNumberFormat="1" applyFont="1" applyFill="1" applyBorder="1" applyAlignment="1" applyProtection="1">
      <alignment horizontal="left"/>
      <protection locked="0"/>
    </xf>
    <xf numFmtId="0" fontId="1" fillId="0" borderId="0" xfId="0" applyFont="1" applyAlignment="1"/>
    <xf numFmtId="0" fontId="8" fillId="0" borderId="0" xfId="0" applyFont="1" applyAlignment="1"/>
    <xf numFmtId="0" fontId="0" fillId="0" borderId="0" xfId="0" applyAlignment="1"/>
    <xf numFmtId="49" fontId="17" fillId="0" borderId="2" xfId="4" applyNumberFormat="1" applyFont="1" applyFill="1" applyBorder="1" applyAlignment="1" applyProtection="1">
      <alignment vertical="top" wrapText="1" shrinkToFit="1" readingOrder="1"/>
      <protection locked="0"/>
    </xf>
    <xf numFmtId="49" fontId="17" fillId="0" borderId="20" xfId="4" applyNumberFormat="1" applyFont="1" applyFill="1" applyBorder="1" applyAlignment="1" applyProtection="1">
      <alignment vertical="top" wrapText="1" shrinkToFit="1" readingOrder="1"/>
      <protection locked="0"/>
    </xf>
    <xf numFmtId="3" fontId="2" fillId="16" borderId="1" xfId="0" applyNumberFormat="1" applyFont="1" applyFill="1" applyBorder="1" applyAlignment="1" applyProtection="1"/>
    <xf numFmtId="3" fontId="2" fillId="16" borderId="11" xfId="0" applyNumberFormat="1" applyFont="1" applyFill="1" applyBorder="1" applyAlignment="1" applyProtection="1"/>
    <xf numFmtId="3" fontId="2" fillId="16" borderId="7" xfId="0" applyNumberFormat="1" applyFont="1" applyFill="1" applyBorder="1" applyAlignment="1" applyProtection="1"/>
    <xf numFmtId="3" fontId="2" fillId="16" borderId="9" xfId="0" applyNumberFormat="1" applyFont="1" applyFill="1" applyBorder="1" applyAlignment="1" applyProtection="1"/>
    <xf numFmtId="3" fontId="2" fillId="16" borderId="4" xfId="0" applyNumberFormat="1" applyFont="1" applyFill="1" applyBorder="1" applyAlignment="1" applyProtection="1"/>
    <xf numFmtId="165" fontId="2" fillId="16" borderId="1" xfId="0" applyNumberFormat="1" applyFont="1" applyFill="1" applyBorder="1" applyAlignment="1" applyProtection="1"/>
    <xf numFmtId="1" fontId="2" fillId="16" borderId="1" xfId="0" applyNumberFormat="1" applyFont="1" applyFill="1" applyBorder="1" applyAlignment="1" applyProtection="1"/>
    <xf numFmtId="3" fontId="2" fillId="16" borderId="49" xfId="0" applyNumberFormat="1" applyFont="1" applyFill="1" applyBorder="1" applyAlignment="1" applyProtection="1"/>
    <xf numFmtId="3" fontId="2" fillId="16" borderId="74" xfId="0" applyNumberFormat="1" applyFont="1" applyFill="1" applyBorder="1" applyAlignment="1" applyProtection="1"/>
    <xf numFmtId="3" fontId="2" fillId="8" borderId="5" xfId="0" applyNumberFormat="1" applyFont="1" applyFill="1" applyBorder="1" applyAlignment="1" applyProtection="1"/>
    <xf numFmtId="3" fontId="2" fillId="16" borderId="18" xfId="0" applyNumberFormat="1" applyFont="1" applyFill="1" applyBorder="1" applyAlignment="1" applyProtection="1">
      <alignment horizontal="justify" vertical="top"/>
    </xf>
    <xf numFmtId="0" fontId="2" fillId="16" borderId="45" xfId="0" applyNumberFormat="1" applyFont="1" applyFill="1" applyBorder="1" applyAlignment="1" applyProtection="1">
      <alignment horizontal="justify" vertical="top"/>
    </xf>
    <xf numFmtId="0" fontId="2" fillId="16" borderId="64" xfId="0" applyNumberFormat="1" applyFont="1" applyFill="1" applyBorder="1" applyAlignment="1" applyProtection="1">
      <alignment horizontal="justify" vertical="top"/>
    </xf>
    <xf numFmtId="3" fontId="2" fillId="16" borderId="2" xfId="0" applyNumberFormat="1" applyFont="1" applyFill="1" applyBorder="1" applyAlignment="1" applyProtection="1">
      <alignment horizontal="justify" vertical="top"/>
    </xf>
    <xf numFmtId="0" fontId="2" fillId="16" borderId="16" xfId="0" applyNumberFormat="1" applyFont="1" applyFill="1" applyBorder="1" applyAlignment="1" applyProtection="1">
      <alignment horizontal="justify" vertical="top"/>
    </xf>
    <xf numFmtId="0" fontId="2" fillId="16" borderId="66" xfId="0" applyNumberFormat="1" applyFont="1" applyFill="1" applyBorder="1" applyAlignment="1" applyProtection="1">
      <alignment horizontal="justify" vertical="top"/>
    </xf>
    <xf numFmtId="3" fontId="2" fillId="16" borderId="19" xfId="0" applyNumberFormat="1" applyFont="1" applyFill="1" applyBorder="1" applyAlignment="1" applyProtection="1">
      <alignment horizontal="justify" vertical="top"/>
    </xf>
    <xf numFmtId="0" fontId="2" fillId="16" borderId="43" xfId="0" applyNumberFormat="1" applyFont="1" applyFill="1" applyBorder="1" applyAlignment="1" applyProtection="1">
      <alignment horizontal="justify" vertical="top"/>
    </xf>
    <xf numFmtId="0" fontId="2" fillId="16" borderId="68" xfId="0" applyNumberFormat="1" applyFont="1" applyFill="1" applyBorder="1" applyAlignment="1" applyProtection="1">
      <alignment horizontal="justify" vertical="top"/>
    </xf>
    <xf numFmtId="49" fontId="2" fillId="16" borderId="2" xfId="0" applyNumberFormat="1" applyFont="1" applyFill="1" applyBorder="1" applyAlignment="1" applyProtection="1">
      <alignment horizontal="left"/>
    </xf>
    <xf numFmtId="49" fontId="2" fillId="16" borderId="16" xfId="0" applyNumberFormat="1" applyFont="1" applyFill="1" applyBorder="1" applyAlignment="1" applyProtection="1">
      <alignment horizontal="left"/>
    </xf>
    <xf numFmtId="0" fontId="2" fillId="16" borderId="16" xfId="0" applyNumberFormat="1" applyFont="1" applyFill="1" applyBorder="1" applyAlignment="1" applyProtection="1">
      <alignment horizontal="left"/>
    </xf>
    <xf numFmtId="0" fontId="2" fillId="16" borderId="20" xfId="0" applyNumberFormat="1" applyFont="1" applyFill="1" applyBorder="1" applyAlignment="1" applyProtection="1">
      <alignment horizontal="left"/>
    </xf>
    <xf numFmtId="0" fontId="2" fillId="16" borderId="2" xfId="0" applyNumberFormat="1" applyFont="1" applyFill="1" applyBorder="1" applyAlignment="1" applyProtection="1">
      <alignment horizontal="left"/>
    </xf>
    <xf numFmtId="0" fontId="2" fillId="16" borderId="20" xfId="0" applyNumberFormat="1" applyFont="1" applyFill="1" applyBorder="1" applyAlignment="1" applyProtection="1">
      <alignment horizontal="justify" vertical="top"/>
    </xf>
    <xf numFmtId="169" fontId="2" fillId="16" borderId="20" xfId="0" applyNumberFormat="1" applyFont="1" applyFill="1" applyBorder="1" applyAlignment="1" applyProtection="1">
      <alignment horizontal="left"/>
    </xf>
    <xf numFmtId="14" fontId="2" fillId="16" borderId="16" xfId="0" applyNumberFormat="1" applyFont="1" applyFill="1" applyBorder="1" applyAlignment="1" applyProtection="1"/>
  </cellXfs>
  <cellStyles count="5">
    <cellStyle name="Komma" xfId="1" builtinId="3"/>
    <cellStyle name="Prozent" xfId="2" builtinId="5"/>
    <cellStyle name="Standard" xfId="0" builtinId="0"/>
    <cellStyle name="Standard 2" xfId="3"/>
    <cellStyle name="Standard_Tabelle1" xfId="4"/>
  </cellStyles>
  <dxfs count="29">
    <dxf>
      <fill>
        <patternFill>
          <bgColor rgb="FFFFFF99"/>
        </patternFill>
      </fill>
    </dxf>
    <dxf>
      <font>
        <strike val="0"/>
        <color theme="0"/>
      </font>
    </dxf>
    <dxf>
      <fill>
        <patternFill>
          <bgColor rgb="FFFFFF99"/>
        </patternFill>
      </fill>
    </dxf>
    <dxf>
      <font>
        <strike val="0"/>
        <color theme="0"/>
      </font>
    </dxf>
    <dxf>
      <fill>
        <patternFill>
          <bgColor rgb="FFFFC000"/>
        </patternFill>
      </fill>
    </dxf>
    <dxf>
      <font>
        <color theme="1"/>
      </font>
    </dxf>
    <dxf>
      <font>
        <color theme="1"/>
      </font>
    </dxf>
    <dxf>
      <font>
        <color theme="1"/>
      </font>
    </dxf>
    <dxf>
      <font>
        <color theme="0"/>
      </font>
    </dxf>
    <dxf>
      <font>
        <color theme="0"/>
      </font>
    </dxf>
    <dxf>
      <font>
        <color theme="0"/>
      </font>
    </dxf>
    <dxf>
      <font>
        <color theme="0"/>
      </font>
    </dxf>
    <dxf>
      <font>
        <color theme="0" tint="-0.14996795556505021"/>
      </font>
    </dxf>
    <dxf>
      <font>
        <strike val="0"/>
        <color theme="0" tint="-0.14996795556505021"/>
      </font>
    </dxf>
    <dxf>
      <font>
        <strike val="0"/>
        <color theme="0" tint="-0.14996795556505021"/>
      </font>
    </dxf>
    <dxf>
      <font>
        <strike val="0"/>
        <color theme="0"/>
      </font>
    </dxf>
    <dxf>
      <font>
        <strike val="0"/>
        <color theme="0"/>
      </font>
    </dxf>
    <dxf>
      <font>
        <strike val="0"/>
        <color theme="0" tint="-0.14996795556505021"/>
      </font>
    </dxf>
    <dxf>
      <font>
        <strike val="0"/>
        <color theme="0" tint="-4.9989318521683403E-2"/>
      </font>
    </dxf>
    <dxf>
      <font>
        <strike val="0"/>
        <color theme="0" tint="-0.14996795556505021"/>
      </font>
    </dxf>
    <dxf>
      <font>
        <strike val="0"/>
        <color theme="0" tint="-0.14996795556505021"/>
      </font>
    </dxf>
    <dxf>
      <font>
        <color theme="0" tint="-4.9989318521683403E-2"/>
      </font>
    </dxf>
    <dxf>
      <font>
        <strike val="0"/>
        <color theme="0"/>
      </font>
    </dxf>
    <dxf>
      <font>
        <strike val="0"/>
        <color theme="0"/>
      </font>
    </dxf>
    <dxf>
      <font>
        <strike val="0"/>
        <color theme="0"/>
      </font>
    </dxf>
    <dxf>
      <font>
        <strike val="0"/>
        <color theme="0"/>
      </font>
    </dxf>
    <dxf>
      <font>
        <color theme="0"/>
      </font>
    </dxf>
    <dxf>
      <font>
        <color theme="0" tint="-0.24994659260841701"/>
        <name val="Cambria"/>
        <scheme val="none"/>
      </font>
    </dxf>
    <dxf>
      <fill>
        <patternFill>
          <bgColor theme="6"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1F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Kostenentwicklung</a:t>
            </a:r>
          </a:p>
        </c:rich>
      </c:tx>
      <c:overlay val="0"/>
      <c:spPr>
        <a:noFill/>
        <a:ln w="25400">
          <a:noFill/>
        </a:ln>
      </c:spPr>
    </c:title>
    <c:autoTitleDeleted val="0"/>
    <c:plotArea>
      <c:layout>
        <c:manualLayout>
          <c:layoutTarget val="inner"/>
          <c:xMode val="edge"/>
          <c:yMode val="edge"/>
          <c:x val="0.19711651715177395"/>
          <c:y val="0.16971452371498924"/>
          <c:w val="0.78937386558023526"/>
          <c:h val="0.48705570002364024"/>
        </c:manualLayout>
      </c:layout>
      <c:lineChart>
        <c:grouping val="standard"/>
        <c:varyColors val="0"/>
        <c:ser>
          <c:idx val="0"/>
          <c:order val="0"/>
          <c:tx>
            <c:strRef>
              <c:f>Kostenentwicklung!$H$132</c:f>
              <c:strCache>
                <c:ptCount val="1"/>
                <c:pt idx="0">
                  <c:v>Zielkosten (BKP 0–9)</c:v>
                </c:pt>
              </c:strCache>
            </c:strRef>
          </c:tx>
          <c:spPr>
            <a:ln w="38100" cap="rnd">
              <a:solidFill>
                <a:sysClr val="windowText" lastClr="000000"/>
              </a:solidFill>
              <a:prstDash val="dash"/>
              <a:round/>
            </a:ln>
            <a:effectLst/>
          </c:spPr>
          <c:marker>
            <c:symbol val="circle"/>
            <c:size val="5"/>
            <c:spPr>
              <a:solidFill>
                <a:schemeClr val="tx1"/>
              </a:solidFill>
              <a:ln w="9525">
                <a:solidFill>
                  <a:sysClr val="windowText" lastClr="000000"/>
                </a:solidFill>
              </a:ln>
              <a:effectLst/>
            </c:spPr>
          </c:marker>
          <c:cat>
            <c:strRef>
              <c:f>(Kostenentwicklung!$I$131,Kostenentwicklung!$K$131,Kostenentwicklung!$M$131,Kostenentwicklung!$O$131,Kostenentwicklung!$Q$131)</c:f>
              <c:strCache>
                <c:ptCount val="5"/>
                <c:pt idx="0">
                  <c:v>Auftragsvereinbarung</c:v>
                </c:pt>
                <c:pt idx="1">
                  <c:v>Grobschätzung der Baukosten</c:v>
                </c:pt>
                <c:pt idx="2">
                  <c:v>Kostenschätzung</c:v>
                </c:pt>
                <c:pt idx="3">
                  <c:v>Kostenvoranschlag</c:v>
                </c:pt>
                <c:pt idx="4">
                  <c:v>Schlussabrechnung</c:v>
                </c:pt>
              </c:strCache>
            </c:strRef>
          </c:cat>
          <c:val>
            <c:numRef>
              <c:f>(Kostenentwicklung!$I$132,Kostenentwicklung!$K$132,Kostenentwicklung!$M$132,Kostenentwicklung!$O$132,Kostenentwicklung!$Q$132)</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37D5-462F-AE20-F59DB1BBC8B3}"/>
            </c:ext>
          </c:extLst>
        </c:ser>
        <c:ser>
          <c:idx val="2"/>
          <c:order val="1"/>
          <c:tx>
            <c:strRef>
              <c:f>Kostenentwicklung!$H$133</c:f>
              <c:strCache>
                <c:ptCount val="1"/>
                <c:pt idx="0">
                  <c:v>Erstellungskosten inkl. Eschliessungskosten (inkl. MwSt) (BKP 0–9)</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(Kostenentwicklung!$I$131,Kostenentwicklung!$K$131,Kostenentwicklung!$M$131,Kostenentwicklung!$O$131,Kostenentwicklung!$Q$131)</c:f>
              <c:strCache>
                <c:ptCount val="5"/>
                <c:pt idx="0">
                  <c:v>Auftragsvereinbarung</c:v>
                </c:pt>
                <c:pt idx="1">
                  <c:v>Grobschätzung der Baukosten</c:v>
                </c:pt>
                <c:pt idx="2">
                  <c:v>Kostenschätzung</c:v>
                </c:pt>
                <c:pt idx="3">
                  <c:v>Kostenvoranschlag</c:v>
                </c:pt>
                <c:pt idx="4">
                  <c:v>Schlussabrechnung</c:v>
                </c:pt>
              </c:strCache>
            </c:strRef>
          </c:cat>
          <c:val>
            <c:numRef>
              <c:f>(Kostenentwicklung!$I$133,Kostenentwicklung!$K$133,Kostenentwicklung!$M$133,Kostenentwicklung!$O$133,Kostenentwicklung!$Q$133)</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5-462F-AE20-F59DB1BBC8B3}"/>
            </c:ext>
          </c:extLst>
        </c:ser>
        <c:ser>
          <c:idx val="4"/>
          <c:order val="2"/>
          <c:tx>
            <c:strRef>
              <c:f>Kostenentwicklung!$H$134</c:f>
              <c:strCache>
                <c:ptCount val="1"/>
                <c:pt idx="0">
                  <c:v>Bandbreite Minim</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strRef>
              <c:f>(Kostenentwicklung!$I$131,Kostenentwicklung!$K$131,Kostenentwicklung!$M$131,Kostenentwicklung!$O$131,Kostenentwicklung!$Q$131)</c:f>
              <c:strCache>
                <c:ptCount val="5"/>
                <c:pt idx="0">
                  <c:v>Auftragsvereinbarung</c:v>
                </c:pt>
                <c:pt idx="1">
                  <c:v>Grobschätzung der Baukosten</c:v>
                </c:pt>
                <c:pt idx="2">
                  <c:v>Kostenschätzung</c:v>
                </c:pt>
                <c:pt idx="3">
                  <c:v>Kostenvoranschlag</c:v>
                </c:pt>
                <c:pt idx="4">
                  <c:v>Schlussabrechnung</c:v>
                </c:pt>
              </c:strCache>
            </c:strRef>
          </c:cat>
          <c:val>
            <c:numRef>
              <c:f>(Kostenentwicklung!$I$134,Kostenentwicklung!$K$134,Kostenentwicklung!$M$134,Kostenentwicklung!$O$134,Kostenentwicklung!$Q$134)</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37D5-462F-AE20-F59DB1BBC8B3}"/>
            </c:ext>
          </c:extLst>
        </c:ser>
        <c:ser>
          <c:idx val="6"/>
          <c:order val="3"/>
          <c:tx>
            <c:strRef>
              <c:f>Kostenentwicklung!$H$135</c:f>
              <c:strCache>
                <c:ptCount val="1"/>
                <c:pt idx="0">
                  <c:v>Bandbreite Maximal</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strRef>
              <c:f>(Kostenentwicklung!$I$131,Kostenentwicklung!$K$131,Kostenentwicklung!$M$131,Kostenentwicklung!$O$131,Kostenentwicklung!$Q$131)</c:f>
              <c:strCache>
                <c:ptCount val="5"/>
                <c:pt idx="0">
                  <c:v>Auftragsvereinbarung</c:v>
                </c:pt>
                <c:pt idx="1">
                  <c:v>Grobschätzung der Baukosten</c:v>
                </c:pt>
                <c:pt idx="2">
                  <c:v>Kostenschätzung</c:v>
                </c:pt>
                <c:pt idx="3">
                  <c:v>Kostenvoranschlag</c:v>
                </c:pt>
                <c:pt idx="4">
                  <c:v>Schlussabrechnung</c:v>
                </c:pt>
              </c:strCache>
            </c:strRef>
          </c:cat>
          <c:val>
            <c:numRef>
              <c:f>(Kostenentwicklung!$I$135,Kostenentwicklung!$K$135,Kostenentwicklung!$M$135,Kostenentwicklung!$O$135,Kostenentwicklung!$Q$135)</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3-37D5-462F-AE20-F59DB1BBC8B3}"/>
            </c:ext>
          </c:extLst>
        </c:ser>
        <c:dLbls>
          <c:showLegendKey val="0"/>
          <c:showVal val="0"/>
          <c:showCatName val="0"/>
          <c:showSerName val="0"/>
          <c:showPercent val="0"/>
          <c:showBubbleSize val="0"/>
        </c:dLbls>
        <c:marker val="1"/>
        <c:smooth val="0"/>
        <c:axId val="245208392"/>
        <c:axId val="245209568"/>
      </c:lineChart>
      <c:catAx>
        <c:axId val="245208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209568"/>
        <c:crosses val="autoZero"/>
        <c:auto val="1"/>
        <c:lblAlgn val="ctr"/>
        <c:lblOffset val="100"/>
        <c:noMultiLvlLbl val="0"/>
      </c:catAx>
      <c:valAx>
        <c:axId val="245209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208392"/>
        <c:crosses val="autoZero"/>
        <c:crossBetween val="between"/>
      </c:valAx>
      <c:spPr>
        <a:solidFill>
          <a:sysClr val="window" lastClr="FFFFFF"/>
        </a:solidFill>
        <a:ln>
          <a:noFill/>
        </a:ln>
        <a:effectLst/>
      </c:spPr>
    </c:plotArea>
    <c:legend>
      <c:legendPos val="b"/>
      <c:layout>
        <c:manualLayout>
          <c:xMode val="edge"/>
          <c:yMode val="edge"/>
          <c:x val="0.19252382925818484"/>
          <c:y val="0.77828953828808345"/>
          <c:w val="0.47233201113018769"/>
          <c:h val="0.2032347111345492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Standardbegrundung für Kostenentwicklung (Ab</a:t>
            </a:r>
            <a:r>
              <a:rPr lang="de-CH" baseline="0"/>
              <a:t> Auftragsvereinbarung)</a:t>
            </a:r>
            <a:endParaRPr lang="de-CH"/>
          </a:p>
        </c:rich>
      </c:tx>
      <c:layout>
        <c:manualLayout>
          <c:xMode val="edge"/>
          <c:yMode val="edge"/>
          <c:x val="0.28831311322136233"/>
          <c:y val="2.6545499675938056E-2"/>
        </c:manualLayout>
      </c:layout>
      <c:overlay val="0"/>
      <c:spPr>
        <a:noFill/>
        <a:ln w="25400">
          <a:noFill/>
        </a:ln>
      </c:spPr>
    </c:title>
    <c:autoTitleDeleted val="0"/>
    <c:plotArea>
      <c:layout>
        <c:manualLayout>
          <c:layoutTarget val="inner"/>
          <c:xMode val="edge"/>
          <c:yMode val="edge"/>
          <c:x val="0.11754452706884791"/>
          <c:y val="8.8495024910672335E-2"/>
          <c:w val="0.23418175036207442"/>
          <c:h val="0.85615498103542498"/>
        </c:manualLayout>
      </c:layout>
      <c:barChart>
        <c:barDir val="col"/>
        <c:grouping val="stacked"/>
        <c:varyColors val="0"/>
        <c:ser>
          <c:idx val="10"/>
          <c:order val="0"/>
          <c:tx>
            <c:strRef>
              <c:f>Kostenentwicklung!$H$180</c:f>
              <c:strCache>
                <c:ptCount val="1"/>
                <c:pt idx="0">
                  <c:v>Nicht Begrundet</c:v>
                </c:pt>
              </c:strCache>
            </c:strRef>
          </c:tx>
          <c:spPr>
            <a:solidFill>
              <a:schemeClr val="accent5">
                <a:lumMod val="60000"/>
              </a:schemeClr>
            </a:solidFill>
            <a:ln>
              <a:noFill/>
            </a:ln>
            <a:effectLst/>
          </c:spPr>
          <c:invertIfNegative val="0"/>
          <c:val>
            <c:numRef>
              <c:f>Kostenentwicklung!$I$180</c:f>
            </c:numRef>
          </c:val>
          <c:extLst>
            <c:ext xmlns:c16="http://schemas.microsoft.com/office/drawing/2014/chart" uri="{C3380CC4-5D6E-409C-BE32-E72D297353CC}">
              <c16:uniqueId val="{00000000-A71F-4F53-BE83-A4441771D060}"/>
            </c:ext>
          </c:extLst>
        </c:ser>
        <c:ser>
          <c:idx val="0"/>
          <c:order val="1"/>
          <c:tx>
            <c:strRef>
              <c:f>Kostenentwicklung!$H$170</c:f>
              <c:strCache>
                <c:ptCount val="1"/>
                <c:pt idx="0">
                  <c:v>1: Bereinigung Auftragsvereinbarung</c:v>
                </c:pt>
              </c:strCache>
            </c:strRef>
          </c:tx>
          <c:spPr>
            <a:solidFill>
              <a:srgbClr val="4F81BD"/>
            </a:solidFill>
            <a:ln w="25400">
              <a:noFill/>
            </a:ln>
          </c:spPr>
          <c:invertIfNegative val="0"/>
          <c:val>
            <c:numRef>
              <c:f>Kostenentwicklung!$I$170</c:f>
            </c:numRef>
          </c:val>
          <c:extLst>
            <c:ext xmlns:c16="http://schemas.microsoft.com/office/drawing/2014/chart" uri="{C3380CC4-5D6E-409C-BE32-E72D297353CC}">
              <c16:uniqueId val="{00000001-A71F-4F53-BE83-A4441771D060}"/>
            </c:ext>
          </c:extLst>
        </c:ser>
        <c:ser>
          <c:idx val="1"/>
          <c:order val="2"/>
          <c:tx>
            <c:strRef>
              <c:f>Kostenentwicklung!$H$171</c:f>
              <c:strCache>
                <c:ptCount val="1"/>
                <c:pt idx="0">
                  <c:v>2: Änderungen Raumprogramm und Betriebskonzept</c:v>
                </c:pt>
              </c:strCache>
            </c:strRef>
          </c:tx>
          <c:spPr>
            <a:solidFill>
              <a:srgbClr val="C0504D"/>
            </a:solidFill>
            <a:ln w="25400">
              <a:noFill/>
            </a:ln>
          </c:spPr>
          <c:invertIfNegative val="0"/>
          <c:val>
            <c:numRef>
              <c:f>Kostenentwicklung!$I$171</c:f>
            </c:numRef>
          </c:val>
          <c:extLst>
            <c:ext xmlns:c16="http://schemas.microsoft.com/office/drawing/2014/chart" uri="{C3380CC4-5D6E-409C-BE32-E72D297353CC}">
              <c16:uniqueId val="{00000002-A71F-4F53-BE83-A4441771D060}"/>
            </c:ext>
          </c:extLst>
        </c:ser>
        <c:ser>
          <c:idx val="2"/>
          <c:order val="3"/>
          <c:tx>
            <c:strRef>
              <c:f>Kostenentwicklung!$H$172</c:f>
              <c:strCache>
                <c:ptCount val="1"/>
                <c:pt idx="0">
                  <c:v>3: Flächen- und Volumeneffizienz</c:v>
                </c:pt>
              </c:strCache>
            </c:strRef>
          </c:tx>
          <c:spPr>
            <a:solidFill>
              <a:srgbClr val="9BBB59"/>
            </a:solidFill>
            <a:ln w="25400">
              <a:noFill/>
            </a:ln>
          </c:spPr>
          <c:invertIfNegative val="0"/>
          <c:val>
            <c:numRef>
              <c:f>Kostenentwicklung!$I$172</c:f>
            </c:numRef>
          </c:val>
          <c:extLst>
            <c:ext xmlns:c16="http://schemas.microsoft.com/office/drawing/2014/chart" uri="{C3380CC4-5D6E-409C-BE32-E72D297353CC}">
              <c16:uniqueId val="{00000003-A71F-4F53-BE83-A4441771D060}"/>
            </c:ext>
          </c:extLst>
        </c:ser>
        <c:ser>
          <c:idx val="3"/>
          <c:order val="4"/>
          <c:tx>
            <c:strRef>
              <c:f>Kostenentwicklung!$H$173</c:f>
              <c:strCache>
                <c:ptCount val="1"/>
                <c:pt idx="0">
                  <c:v>4: Änderungen Standards und Vorschriften</c:v>
                </c:pt>
              </c:strCache>
            </c:strRef>
          </c:tx>
          <c:spPr>
            <a:solidFill>
              <a:srgbClr val="8064A2"/>
            </a:solidFill>
            <a:ln w="25400">
              <a:noFill/>
            </a:ln>
          </c:spPr>
          <c:invertIfNegative val="0"/>
          <c:val>
            <c:numRef>
              <c:f>Kostenentwicklung!$I$173</c:f>
            </c:numRef>
          </c:val>
          <c:extLst>
            <c:ext xmlns:c16="http://schemas.microsoft.com/office/drawing/2014/chart" uri="{C3380CC4-5D6E-409C-BE32-E72D297353CC}">
              <c16:uniqueId val="{00000004-A71F-4F53-BE83-A4441771D060}"/>
            </c:ext>
          </c:extLst>
        </c:ser>
        <c:ser>
          <c:idx val="4"/>
          <c:order val="5"/>
          <c:tx>
            <c:strRef>
              <c:f>Kostenentwicklung!$H$174</c:f>
              <c:strCache>
                <c:ptCount val="1"/>
                <c:pt idx="0">
                  <c:v>5: Änderungen Bauqualität</c:v>
                </c:pt>
              </c:strCache>
            </c:strRef>
          </c:tx>
          <c:spPr>
            <a:solidFill>
              <a:srgbClr val="4BACC6"/>
            </a:solidFill>
            <a:ln w="25400">
              <a:noFill/>
            </a:ln>
          </c:spPr>
          <c:invertIfNegative val="0"/>
          <c:val>
            <c:numRef>
              <c:f>Kostenentwicklung!$I$174</c:f>
            </c:numRef>
          </c:val>
          <c:extLst>
            <c:ext xmlns:c16="http://schemas.microsoft.com/office/drawing/2014/chart" uri="{C3380CC4-5D6E-409C-BE32-E72D297353CC}">
              <c16:uniqueId val="{00000005-A71F-4F53-BE83-A4441771D060}"/>
            </c:ext>
          </c:extLst>
        </c:ser>
        <c:ser>
          <c:idx val="5"/>
          <c:order val="6"/>
          <c:tx>
            <c:strRef>
              <c:f>Kostenentwicklung!$H$175</c:f>
              <c:strCache>
                <c:ptCount val="1"/>
                <c:pt idx="0">
                  <c:v>6: Risikobewirtschaftung</c:v>
                </c:pt>
              </c:strCache>
            </c:strRef>
          </c:tx>
          <c:spPr>
            <a:solidFill>
              <a:srgbClr val="F79646"/>
            </a:solidFill>
            <a:ln w="25400">
              <a:noFill/>
            </a:ln>
          </c:spPr>
          <c:invertIfNegative val="0"/>
          <c:val>
            <c:numRef>
              <c:f>Kostenentwicklung!$I$175</c:f>
            </c:numRef>
          </c:val>
          <c:extLst>
            <c:ext xmlns:c16="http://schemas.microsoft.com/office/drawing/2014/chart" uri="{C3380CC4-5D6E-409C-BE32-E72D297353CC}">
              <c16:uniqueId val="{00000006-A71F-4F53-BE83-A4441771D060}"/>
            </c:ext>
          </c:extLst>
        </c:ser>
        <c:ser>
          <c:idx val="6"/>
          <c:order val="7"/>
          <c:tx>
            <c:strRef>
              <c:f>Kostenentwicklung!$H$176</c:f>
              <c:strCache>
                <c:ptCount val="1"/>
                <c:pt idx="0">
                  <c:v>7: Änderungen Eingriffstiefe</c:v>
                </c:pt>
              </c:strCache>
            </c:strRef>
          </c:tx>
          <c:spPr>
            <a:solidFill>
              <a:schemeClr val="accent1">
                <a:lumMod val="60000"/>
              </a:schemeClr>
            </a:solidFill>
            <a:ln>
              <a:noFill/>
            </a:ln>
            <a:effectLst/>
          </c:spPr>
          <c:invertIfNegative val="0"/>
          <c:val>
            <c:numRef>
              <c:f>Kostenentwicklung!$I$176</c:f>
            </c:numRef>
          </c:val>
          <c:extLst>
            <c:ext xmlns:c16="http://schemas.microsoft.com/office/drawing/2014/chart" uri="{C3380CC4-5D6E-409C-BE32-E72D297353CC}">
              <c16:uniqueId val="{00000007-A71F-4F53-BE83-A4441771D060}"/>
            </c:ext>
          </c:extLst>
        </c:ser>
        <c:ser>
          <c:idx val="7"/>
          <c:order val="8"/>
          <c:tx>
            <c:strRef>
              <c:f>Kostenentwicklung!$H$177</c:f>
              <c:strCache>
                <c:ptCount val="1"/>
                <c:pt idx="0">
                  <c:v>8: Kalkulationsfehler</c:v>
                </c:pt>
              </c:strCache>
            </c:strRef>
          </c:tx>
          <c:spPr>
            <a:solidFill>
              <a:schemeClr val="accent2">
                <a:lumMod val="60000"/>
              </a:schemeClr>
            </a:solidFill>
            <a:ln>
              <a:noFill/>
            </a:ln>
            <a:effectLst/>
          </c:spPr>
          <c:invertIfNegative val="0"/>
          <c:val>
            <c:numRef>
              <c:f>Kostenentwicklung!$I$177</c:f>
            </c:numRef>
          </c:val>
          <c:extLst>
            <c:ext xmlns:c16="http://schemas.microsoft.com/office/drawing/2014/chart" uri="{C3380CC4-5D6E-409C-BE32-E72D297353CC}">
              <c16:uniqueId val="{00000008-A71F-4F53-BE83-A4441771D060}"/>
            </c:ext>
          </c:extLst>
        </c:ser>
        <c:ser>
          <c:idx val="8"/>
          <c:order val="9"/>
          <c:tx>
            <c:strRef>
              <c:f>Kostenentwicklung!$H$178</c:f>
              <c:strCache>
                <c:ptCount val="1"/>
              </c:strCache>
            </c:strRef>
          </c:tx>
          <c:spPr>
            <a:solidFill>
              <a:schemeClr val="accent3">
                <a:lumMod val="60000"/>
              </a:schemeClr>
            </a:solidFill>
            <a:ln>
              <a:noFill/>
            </a:ln>
            <a:effectLst/>
          </c:spPr>
          <c:invertIfNegative val="0"/>
          <c:val>
            <c:numRef>
              <c:f>Kostenentwicklung!$I$178</c:f>
            </c:numRef>
          </c:val>
          <c:extLst>
            <c:ext xmlns:c16="http://schemas.microsoft.com/office/drawing/2014/chart" uri="{C3380CC4-5D6E-409C-BE32-E72D297353CC}">
              <c16:uniqueId val="{00000009-A71F-4F53-BE83-A4441771D060}"/>
            </c:ext>
          </c:extLst>
        </c:ser>
        <c:ser>
          <c:idx val="9"/>
          <c:order val="10"/>
          <c:tx>
            <c:strRef>
              <c:f>Kostenentwicklung!$H$179</c:f>
              <c:strCache>
                <c:ptCount val="1"/>
                <c:pt idx="0">
                  <c:v>9: Teuerung der letzen Phase</c:v>
                </c:pt>
              </c:strCache>
            </c:strRef>
          </c:tx>
          <c:spPr>
            <a:solidFill>
              <a:schemeClr val="accent4">
                <a:lumMod val="60000"/>
              </a:schemeClr>
            </a:solidFill>
            <a:ln>
              <a:noFill/>
            </a:ln>
            <a:effectLst/>
          </c:spPr>
          <c:invertIfNegative val="0"/>
          <c:val>
            <c:numRef>
              <c:f>Kostenentwicklung!$I$179</c:f>
            </c:numRef>
          </c:val>
          <c:extLst>
            <c:ext xmlns:c16="http://schemas.microsoft.com/office/drawing/2014/chart" uri="{C3380CC4-5D6E-409C-BE32-E72D297353CC}">
              <c16:uniqueId val="{0000000A-A71F-4F53-BE83-A4441771D060}"/>
            </c:ext>
          </c:extLst>
        </c:ser>
        <c:dLbls>
          <c:showLegendKey val="0"/>
          <c:showVal val="0"/>
          <c:showCatName val="0"/>
          <c:showSerName val="0"/>
          <c:showPercent val="0"/>
          <c:showBubbleSize val="0"/>
        </c:dLbls>
        <c:gapWidth val="150"/>
        <c:overlap val="100"/>
        <c:axId val="245210352"/>
        <c:axId val="245209960"/>
      </c:barChart>
      <c:catAx>
        <c:axId val="24521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209960"/>
        <c:crosses val="autoZero"/>
        <c:auto val="1"/>
        <c:lblAlgn val="ctr"/>
        <c:lblOffset val="100"/>
        <c:noMultiLvlLbl val="0"/>
      </c:catAx>
      <c:valAx>
        <c:axId val="245209960"/>
        <c:scaling>
          <c:orientation val="minMax"/>
          <c:min val="0"/>
        </c:scaling>
        <c:delete val="0"/>
        <c:axPos val="l"/>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210352"/>
        <c:crosses val="autoZero"/>
        <c:crossBetween val="between"/>
      </c:valAx>
      <c:spPr>
        <a:noFill/>
        <a:ln w="25400">
          <a:noFill/>
        </a:ln>
      </c:spPr>
    </c:plotArea>
    <c:legend>
      <c:legendPos val="r"/>
      <c:layout>
        <c:manualLayout>
          <c:xMode val="edge"/>
          <c:yMode val="edge"/>
          <c:x val="0.30492323116262832"/>
          <c:y val="0.17065993721012546"/>
          <c:w val="0.6876391470379507"/>
          <c:h val="0.77819251577790971"/>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17538984097575"/>
          <c:y val="6.5013628104179266E-2"/>
          <c:w val="0.7423150223869075"/>
          <c:h val="0.52338044282926177"/>
        </c:manualLayout>
      </c:layout>
      <c:lineChart>
        <c:grouping val="standard"/>
        <c:varyColors val="0"/>
        <c:ser>
          <c:idx val="0"/>
          <c:order val="0"/>
          <c:tx>
            <c:strRef>
              <c:f>'KE-Graphik'!$H$14</c:f>
              <c:strCache>
                <c:ptCount val="1"/>
                <c:pt idx="0">
                  <c:v>Zielkosten (BKP 0-9)</c:v>
                </c:pt>
              </c:strCache>
            </c:strRef>
          </c:tx>
          <c:spPr>
            <a:ln w="38100" cap="rnd">
              <a:solidFill>
                <a:sysClr val="windowText" lastClr="000000"/>
              </a:solidFill>
              <a:prstDash val="dash"/>
              <a:round/>
            </a:ln>
            <a:effectLst/>
          </c:spPr>
          <c:marker>
            <c:symbol val="circle"/>
            <c:size val="5"/>
            <c:spPr>
              <a:solidFill>
                <a:schemeClr val="tx1"/>
              </a:solidFill>
              <a:ln w="9525">
                <a:solidFill>
                  <a:sysClr val="windowText" lastClr="000000"/>
                </a:solidFill>
              </a:ln>
              <a:effectLst/>
            </c:spPr>
          </c:marker>
          <c:cat>
            <c:strRef>
              <c:f>('KE-Graphik'!$I$13,'KE-Graphik'!$K$13,'KE-Graphik'!$M$13,'KE-Graphik'!$O$13,'KE-Graphik'!$Q$13)</c:f>
              <c:strCache>
                <c:ptCount val="5"/>
                <c:pt idx="0">
                  <c:v>Auftragsvereinbarung</c:v>
                </c:pt>
                <c:pt idx="1">
                  <c:v>Kostengrobschätzung</c:v>
                </c:pt>
                <c:pt idx="2">
                  <c:v>Kostenschätzung</c:v>
                </c:pt>
                <c:pt idx="3">
                  <c:v>Kostenvoranschlag</c:v>
                </c:pt>
                <c:pt idx="4">
                  <c:v>Schlussabrechnung</c:v>
                </c:pt>
              </c:strCache>
            </c:strRef>
          </c:cat>
          <c:val>
            <c:numRef>
              <c:f>('KE-Graphik'!$I$14,'KE-Graphik'!$K$14,'KE-Graphik'!$M$14,'KE-Graphik'!$O$14,'KE-Graphik'!$Q$14)</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0-AAD3-4A83-A353-801055D29F75}"/>
            </c:ext>
          </c:extLst>
        </c:ser>
        <c:ser>
          <c:idx val="2"/>
          <c:order val="1"/>
          <c:tx>
            <c:strRef>
              <c:f>'KE-Graphik'!$H$15</c:f>
              <c:strCache>
                <c:ptCount val="1"/>
                <c:pt idx="0">
                  <c:v>Erstellungskosten inkl. Eschliessungskosten (inkl. MwSt) (BKP 0-9)</c:v>
                </c:pt>
              </c:strCache>
            </c:strRef>
          </c:tx>
          <c:spPr>
            <a:ln w="28575" cap="rnd">
              <a:solidFill>
                <a:srgbClr val="00B0F0"/>
              </a:solidFill>
              <a:round/>
            </a:ln>
            <a:effectLst/>
          </c:spPr>
          <c:marker>
            <c:symbol val="circle"/>
            <c:size val="5"/>
            <c:spPr>
              <a:solidFill>
                <a:srgbClr val="00B0F0"/>
              </a:solidFill>
              <a:ln w="9525">
                <a:solidFill>
                  <a:srgbClr val="00B0F0"/>
                </a:solidFill>
              </a:ln>
              <a:effectLst/>
            </c:spPr>
          </c:marker>
          <c:cat>
            <c:strRef>
              <c:f>('KE-Graphik'!$I$13,'KE-Graphik'!$K$13,'KE-Graphik'!$M$13,'KE-Graphik'!$O$13,'KE-Graphik'!$Q$13)</c:f>
              <c:strCache>
                <c:ptCount val="5"/>
                <c:pt idx="0">
                  <c:v>Auftragsvereinbarung</c:v>
                </c:pt>
                <c:pt idx="1">
                  <c:v>Kostengrobschätzung</c:v>
                </c:pt>
                <c:pt idx="2">
                  <c:v>Kostenschätzung</c:v>
                </c:pt>
                <c:pt idx="3">
                  <c:v>Kostenvoranschlag</c:v>
                </c:pt>
                <c:pt idx="4">
                  <c:v>Schlussabrechnung</c:v>
                </c:pt>
              </c:strCache>
            </c:strRef>
          </c:cat>
          <c:val>
            <c:numRef>
              <c:f>('KE-Graphik'!$I$15,'KE-Graphik'!$K$15,'KE-Graphik'!$M$15,'KE-Graphik'!$O$15,'KE-Graphik'!$Q$15)</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3-4A83-A353-801055D29F75}"/>
            </c:ext>
          </c:extLst>
        </c:ser>
        <c:ser>
          <c:idx val="4"/>
          <c:order val="2"/>
          <c:tx>
            <c:strRef>
              <c:f>'KE-Graphik'!$H$16</c:f>
              <c:strCache>
                <c:ptCount val="1"/>
                <c:pt idx="0">
                  <c:v>Bandbreite Minim</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strRef>
              <c:f>('KE-Graphik'!$I$13,'KE-Graphik'!$K$13,'KE-Graphik'!$M$13,'KE-Graphik'!$O$13,'KE-Graphik'!$Q$13)</c:f>
              <c:strCache>
                <c:ptCount val="5"/>
                <c:pt idx="0">
                  <c:v>Auftragsvereinbarung</c:v>
                </c:pt>
                <c:pt idx="1">
                  <c:v>Kostengrobschätzung</c:v>
                </c:pt>
                <c:pt idx="2">
                  <c:v>Kostenschätzung</c:v>
                </c:pt>
                <c:pt idx="3">
                  <c:v>Kostenvoranschlag</c:v>
                </c:pt>
                <c:pt idx="4">
                  <c:v>Schlussabrechnung</c:v>
                </c:pt>
              </c:strCache>
            </c:strRef>
          </c:cat>
          <c:val>
            <c:numRef>
              <c:f>('KE-Graphik'!$I$16,'KE-Graphik'!$K$16,'KE-Graphik'!$M$16,'KE-Graphik'!$O$16,'KE-Graphik'!$Q$16)</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AAD3-4A83-A353-801055D29F75}"/>
            </c:ext>
          </c:extLst>
        </c:ser>
        <c:ser>
          <c:idx val="6"/>
          <c:order val="3"/>
          <c:tx>
            <c:strRef>
              <c:f>'KE-Graphik'!$H$17</c:f>
              <c:strCache>
                <c:ptCount val="1"/>
                <c:pt idx="0">
                  <c:v>Bandbreite Maximal</c:v>
                </c:pt>
              </c:strCache>
            </c:strRef>
          </c:tx>
          <c:spPr>
            <a:ln w="25400">
              <a:solidFill>
                <a:srgbClr val="FF0000"/>
              </a:solidFill>
              <a:prstDash val="solid"/>
            </a:ln>
          </c:spPr>
          <c:marker>
            <c:symbol val="circle"/>
            <c:size val="5"/>
            <c:spPr>
              <a:solidFill>
                <a:srgbClr val="FF0000"/>
              </a:solidFill>
              <a:ln>
                <a:solidFill>
                  <a:srgbClr val="FF0000"/>
                </a:solidFill>
                <a:prstDash val="solid"/>
              </a:ln>
            </c:spPr>
          </c:marker>
          <c:cat>
            <c:strRef>
              <c:f>('KE-Graphik'!$I$13,'KE-Graphik'!$K$13,'KE-Graphik'!$M$13,'KE-Graphik'!$O$13,'KE-Graphik'!$Q$13)</c:f>
              <c:strCache>
                <c:ptCount val="5"/>
                <c:pt idx="0">
                  <c:v>Auftragsvereinbarung</c:v>
                </c:pt>
                <c:pt idx="1">
                  <c:v>Kostengrobschätzung</c:v>
                </c:pt>
                <c:pt idx="2">
                  <c:v>Kostenschätzung</c:v>
                </c:pt>
                <c:pt idx="3">
                  <c:v>Kostenvoranschlag</c:v>
                </c:pt>
                <c:pt idx="4">
                  <c:v>Schlussabrechnung</c:v>
                </c:pt>
              </c:strCache>
            </c:strRef>
          </c:cat>
          <c:val>
            <c:numRef>
              <c:f>('KE-Graphik'!$I$17,'KE-Graphik'!$K$17,'KE-Graphik'!$M$17,'KE-Graphik'!$O$17,'KE-Graphik'!$Q$17)</c:f>
              <c:numCache>
                <c:formatCode>#,##0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3-AAD3-4A83-A353-801055D29F75}"/>
            </c:ext>
          </c:extLst>
        </c:ser>
        <c:dLbls>
          <c:showLegendKey val="0"/>
          <c:showVal val="0"/>
          <c:showCatName val="0"/>
          <c:showSerName val="0"/>
          <c:showPercent val="0"/>
          <c:showBubbleSize val="0"/>
        </c:dLbls>
        <c:marker val="1"/>
        <c:smooth val="0"/>
        <c:axId val="245105736"/>
        <c:axId val="245105344"/>
      </c:lineChart>
      <c:catAx>
        <c:axId val="24510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105344"/>
        <c:crosses val="autoZero"/>
        <c:auto val="1"/>
        <c:lblAlgn val="ctr"/>
        <c:lblOffset val="100"/>
        <c:noMultiLvlLbl val="0"/>
      </c:catAx>
      <c:valAx>
        <c:axId val="24510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45105736"/>
        <c:crosses val="autoZero"/>
        <c:crossBetween val="between"/>
      </c:valAx>
      <c:spPr>
        <a:solidFill>
          <a:sysClr val="window" lastClr="FFFFFF"/>
        </a:solidFill>
        <a:ln>
          <a:noFill/>
        </a:ln>
        <a:effectLst/>
      </c:spPr>
    </c:plotArea>
    <c:legend>
      <c:legendPos val="b"/>
      <c:layout>
        <c:manualLayout>
          <c:xMode val="edge"/>
          <c:yMode val="edge"/>
          <c:x val="0.19252382275744945"/>
          <c:y val="0.77828958880139976"/>
          <c:w val="0.47233200555812888"/>
          <c:h val="0.2032347398882832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54452706884791"/>
          <c:y val="8.8495024910672335E-2"/>
          <c:w val="0.28572240234676549"/>
          <c:h val="0.85615498103542498"/>
        </c:manualLayout>
      </c:layout>
      <c:barChart>
        <c:barDir val="col"/>
        <c:grouping val="stacked"/>
        <c:varyColors val="0"/>
        <c:ser>
          <c:idx val="11"/>
          <c:order val="0"/>
          <c:tx>
            <c:strRef>
              <c:f>'KE-Graphik'!$B$66</c:f>
              <c:strCache>
                <c:ptCount val="1"/>
                <c:pt idx="0">
                  <c:v>1: Bereinigung Auftragsvereinbarung</c:v>
                </c:pt>
              </c:strCache>
            </c:strRef>
          </c:tx>
          <c:invertIfNegative val="0"/>
          <c:cat>
            <c:strRef>
              <c:f>'KE-Graphik'!$F$65</c:f>
              <c:strCache>
                <c:ptCount val="1"/>
                <c:pt idx="0">
                  <c:v>Franken CHF</c:v>
                </c:pt>
              </c:strCache>
            </c:strRef>
          </c:cat>
          <c:val>
            <c:numRef>
              <c:f>'KE-Graphik'!$F$66</c:f>
              <c:numCache>
                <c:formatCode>#,##0</c:formatCode>
                <c:ptCount val="1"/>
                <c:pt idx="0">
                  <c:v>0</c:v>
                </c:pt>
              </c:numCache>
            </c:numRef>
          </c:val>
          <c:extLst>
            <c:ext xmlns:c16="http://schemas.microsoft.com/office/drawing/2014/chart" uri="{C3380CC4-5D6E-409C-BE32-E72D297353CC}">
              <c16:uniqueId val="{00000000-B98F-4FDF-97B1-B9FED2A63C0D}"/>
            </c:ext>
          </c:extLst>
        </c:ser>
        <c:ser>
          <c:idx val="0"/>
          <c:order val="1"/>
          <c:tx>
            <c:strRef>
              <c:f>'KE-Graphik'!$B$67</c:f>
              <c:strCache>
                <c:ptCount val="1"/>
                <c:pt idx="0">
                  <c:v>2: Änderungen Raumprogramm und Betriebskonzept</c:v>
                </c:pt>
              </c:strCache>
            </c:strRef>
          </c:tx>
          <c:invertIfNegative val="0"/>
          <c:cat>
            <c:strRef>
              <c:f>'KE-Graphik'!$F$65</c:f>
              <c:strCache>
                <c:ptCount val="1"/>
                <c:pt idx="0">
                  <c:v>Franken CHF</c:v>
                </c:pt>
              </c:strCache>
            </c:strRef>
          </c:cat>
          <c:val>
            <c:numRef>
              <c:f>'KE-Graphik'!$F$67</c:f>
              <c:numCache>
                <c:formatCode>#,##0</c:formatCode>
                <c:ptCount val="1"/>
                <c:pt idx="0">
                  <c:v>0</c:v>
                </c:pt>
              </c:numCache>
            </c:numRef>
          </c:val>
          <c:extLst>
            <c:ext xmlns:c16="http://schemas.microsoft.com/office/drawing/2014/chart" uri="{C3380CC4-5D6E-409C-BE32-E72D297353CC}">
              <c16:uniqueId val="{00000001-B98F-4FDF-97B1-B9FED2A63C0D}"/>
            </c:ext>
          </c:extLst>
        </c:ser>
        <c:ser>
          <c:idx val="1"/>
          <c:order val="2"/>
          <c:tx>
            <c:strRef>
              <c:f>'KE-Graphik'!$B$68</c:f>
              <c:strCache>
                <c:ptCount val="1"/>
                <c:pt idx="0">
                  <c:v>3: Flächen- und Volumeneffizienz</c:v>
                </c:pt>
              </c:strCache>
            </c:strRef>
          </c:tx>
          <c:invertIfNegative val="0"/>
          <c:cat>
            <c:strRef>
              <c:f>'KE-Graphik'!$F$65</c:f>
              <c:strCache>
                <c:ptCount val="1"/>
                <c:pt idx="0">
                  <c:v>Franken CHF</c:v>
                </c:pt>
              </c:strCache>
            </c:strRef>
          </c:cat>
          <c:val>
            <c:numRef>
              <c:f>'KE-Graphik'!$F$68</c:f>
              <c:numCache>
                <c:formatCode>#,##0</c:formatCode>
                <c:ptCount val="1"/>
                <c:pt idx="0">
                  <c:v>0</c:v>
                </c:pt>
              </c:numCache>
            </c:numRef>
          </c:val>
          <c:extLst>
            <c:ext xmlns:c16="http://schemas.microsoft.com/office/drawing/2014/chart" uri="{C3380CC4-5D6E-409C-BE32-E72D297353CC}">
              <c16:uniqueId val="{00000002-B98F-4FDF-97B1-B9FED2A63C0D}"/>
            </c:ext>
          </c:extLst>
        </c:ser>
        <c:ser>
          <c:idx val="2"/>
          <c:order val="3"/>
          <c:tx>
            <c:strRef>
              <c:f>'KE-Graphik'!$B$69</c:f>
              <c:strCache>
                <c:ptCount val="1"/>
                <c:pt idx="0">
                  <c:v>4: Änderungen Standards und Vorschriften              </c:v>
                </c:pt>
              </c:strCache>
            </c:strRef>
          </c:tx>
          <c:invertIfNegative val="0"/>
          <c:cat>
            <c:strRef>
              <c:f>'KE-Graphik'!$F$65</c:f>
              <c:strCache>
                <c:ptCount val="1"/>
                <c:pt idx="0">
                  <c:v>Franken CHF</c:v>
                </c:pt>
              </c:strCache>
            </c:strRef>
          </c:cat>
          <c:val>
            <c:numRef>
              <c:f>'KE-Graphik'!$F$69</c:f>
              <c:numCache>
                <c:formatCode>#,##0</c:formatCode>
                <c:ptCount val="1"/>
                <c:pt idx="0">
                  <c:v>0</c:v>
                </c:pt>
              </c:numCache>
            </c:numRef>
          </c:val>
          <c:extLst>
            <c:ext xmlns:c16="http://schemas.microsoft.com/office/drawing/2014/chart" uri="{C3380CC4-5D6E-409C-BE32-E72D297353CC}">
              <c16:uniqueId val="{00000003-B98F-4FDF-97B1-B9FED2A63C0D}"/>
            </c:ext>
          </c:extLst>
        </c:ser>
        <c:ser>
          <c:idx val="3"/>
          <c:order val="4"/>
          <c:tx>
            <c:strRef>
              <c:f>'KE-Graphik'!$B$70</c:f>
              <c:strCache>
                <c:ptCount val="1"/>
                <c:pt idx="0">
                  <c:v>5: Änderungen Bauqualität</c:v>
                </c:pt>
              </c:strCache>
            </c:strRef>
          </c:tx>
          <c:invertIfNegative val="0"/>
          <c:cat>
            <c:strRef>
              <c:f>'KE-Graphik'!$F$65</c:f>
              <c:strCache>
                <c:ptCount val="1"/>
                <c:pt idx="0">
                  <c:v>Franken CHF</c:v>
                </c:pt>
              </c:strCache>
            </c:strRef>
          </c:cat>
          <c:val>
            <c:numRef>
              <c:f>'KE-Graphik'!$F$70</c:f>
              <c:numCache>
                <c:formatCode>#,##0</c:formatCode>
                <c:ptCount val="1"/>
                <c:pt idx="0">
                  <c:v>0</c:v>
                </c:pt>
              </c:numCache>
            </c:numRef>
          </c:val>
          <c:extLst>
            <c:ext xmlns:c16="http://schemas.microsoft.com/office/drawing/2014/chart" uri="{C3380CC4-5D6E-409C-BE32-E72D297353CC}">
              <c16:uniqueId val="{00000004-B98F-4FDF-97B1-B9FED2A63C0D}"/>
            </c:ext>
          </c:extLst>
        </c:ser>
        <c:ser>
          <c:idx val="4"/>
          <c:order val="5"/>
          <c:tx>
            <c:strRef>
              <c:f>'KE-Graphik'!$B$71</c:f>
              <c:strCache>
                <c:ptCount val="1"/>
                <c:pt idx="0">
                  <c:v>6: Risikobewirtschaftung</c:v>
                </c:pt>
              </c:strCache>
            </c:strRef>
          </c:tx>
          <c:invertIfNegative val="0"/>
          <c:cat>
            <c:strRef>
              <c:f>'KE-Graphik'!$F$65</c:f>
              <c:strCache>
                <c:ptCount val="1"/>
                <c:pt idx="0">
                  <c:v>Franken CHF</c:v>
                </c:pt>
              </c:strCache>
            </c:strRef>
          </c:cat>
          <c:val>
            <c:numRef>
              <c:f>'KE-Graphik'!$F$71</c:f>
              <c:numCache>
                <c:formatCode>#,##0</c:formatCode>
                <c:ptCount val="1"/>
                <c:pt idx="0">
                  <c:v>0</c:v>
                </c:pt>
              </c:numCache>
            </c:numRef>
          </c:val>
          <c:extLst>
            <c:ext xmlns:c16="http://schemas.microsoft.com/office/drawing/2014/chart" uri="{C3380CC4-5D6E-409C-BE32-E72D297353CC}">
              <c16:uniqueId val="{00000005-B98F-4FDF-97B1-B9FED2A63C0D}"/>
            </c:ext>
          </c:extLst>
        </c:ser>
        <c:ser>
          <c:idx val="5"/>
          <c:order val="6"/>
          <c:tx>
            <c:strRef>
              <c:f>'KE-Graphik'!$B$72</c:f>
              <c:strCache>
                <c:ptCount val="1"/>
                <c:pt idx="0">
                  <c:v>7: Änderungen Eingriffstiefe</c:v>
                </c:pt>
              </c:strCache>
            </c:strRef>
          </c:tx>
          <c:invertIfNegative val="0"/>
          <c:cat>
            <c:strRef>
              <c:f>'KE-Graphik'!$F$65</c:f>
              <c:strCache>
                <c:ptCount val="1"/>
                <c:pt idx="0">
                  <c:v>Franken CHF</c:v>
                </c:pt>
              </c:strCache>
            </c:strRef>
          </c:cat>
          <c:val>
            <c:numRef>
              <c:f>'KE-Graphik'!$F$72</c:f>
              <c:numCache>
                <c:formatCode>#,##0</c:formatCode>
                <c:ptCount val="1"/>
                <c:pt idx="0">
                  <c:v>0</c:v>
                </c:pt>
              </c:numCache>
            </c:numRef>
          </c:val>
          <c:extLst>
            <c:ext xmlns:c16="http://schemas.microsoft.com/office/drawing/2014/chart" uri="{C3380CC4-5D6E-409C-BE32-E72D297353CC}">
              <c16:uniqueId val="{00000006-B98F-4FDF-97B1-B9FED2A63C0D}"/>
            </c:ext>
          </c:extLst>
        </c:ser>
        <c:ser>
          <c:idx val="6"/>
          <c:order val="7"/>
          <c:tx>
            <c:strRef>
              <c:f>'KE-Graphik'!$B$73</c:f>
              <c:strCache>
                <c:ptCount val="1"/>
                <c:pt idx="0">
                  <c:v>8: Kalkulationsfehler</c:v>
                </c:pt>
              </c:strCache>
            </c:strRef>
          </c:tx>
          <c:invertIfNegative val="0"/>
          <c:cat>
            <c:strRef>
              <c:f>'KE-Graphik'!$F$65</c:f>
              <c:strCache>
                <c:ptCount val="1"/>
                <c:pt idx="0">
                  <c:v>Franken CHF</c:v>
                </c:pt>
              </c:strCache>
            </c:strRef>
          </c:cat>
          <c:val>
            <c:numRef>
              <c:f>'KE-Graphik'!$F$73</c:f>
              <c:numCache>
                <c:formatCode>#,##0</c:formatCode>
                <c:ptCount val="1"/>
                <c:pt idx="0">
                  <c:v>0</c:v>
                </c:pt>
              </c:numCache>
            </c:numRef>
          </c:val>
          <c:extLst>
            <c:ext xmlns:c16="http://schemas.microsoft.com/office/drawing/2014/chart" uri="{C3380CC4-5D6E-409C-BE32-E72D297353CC}">
              <c16:uniqueId val="{00000007-B98F-4FDF-97B1-B9FED2A63C0D}"/>
            </c:ext>
          </c:extLst>
        </c:ser>
        <c:ser>
          <c:idx val="7"/>
          <c:order val="8"/>
          <c:tx>
            <c:strRef>
              <c:f>'KE-Graphik'!$B$74</c:f>
              <c:strCache>
                <c:ptCount val="1"/>
                <c:pt idx="0">
                  <c:v>Nicht gebraucht</c:v>
                </c:pt>
              </c:strCache>
            </c:strRef>
          </c:tx>
          <c:invertIfNegative val="0"/>
          <c:cat>
            <c:strRef>
              <c:f>'KE-Graphik'!$F$65</c:f>
              <c:strCache>
                <c:ptCount val="1"/>
                <c:pt idx="0">
                  <c:v>Franken CHF</c:v>
                </c:pt>
              </c:strCache>
            </c:strRef>
          </c:cat>
          <c:val>
            <c:numRef>
              <c:f>'KE-Graphik'!$G$74</c:f>
            </c:numRef>
          </c:val>
          <c:extLst>
            <c:ext xmlns:c16="http://schemas.microsoft.com/office/drawing/2014/chart" uri="{C3380CC4-5D6E-409C-BE32-E72D297353CC}">
              <c16:uniqueId val="{00000008-B98F-4FDF-97B1-B9FED2A63C0D}"/>
            </c:ext>
          </c:extLst>
        </c:ser>
        <c:ser>
          <c:idx val="8"/>
          <c:order val="9"/>
          <c:tx>
            <c:strRef>
              <c:f>'KE-Graphik'!$B$75</c:f>
              <c:strCache>
                <c:ptCount val="1"/>
                <c:pt idx="0">
                  <c:v>9: Teuerung der letzen Phase</c:v>
                </c:pt>
              </c:strCache>
            </c:strRef>
          </c:tx>
          <c:invertIfNegative val="0"/>
          <c:cat>
            <c:strRef>
              <c:f>'KE-Graphik'!$F$65</c:f>
              <c:strCache>
                <c:ptCount val="1"/>
                <c:pt idx="0">
                  <c:v>Franken CHF</c:v>
                </c:pt>
              </c:strCache>
            </c:strRef>
          </c:cat>
          <c:val>
            <c:numRef>
              <c:f>'KE-Graphik'!$F$75</c:f>
              <c:numCache>
                <c:formatCode>#,##0</c:formatCode>
                <c:ptCount val="1"/>
                <c:pt idx="0">
                  <c:v>0</c:v>
                </c:pt>
              </c:numCache>
            </c:numRef>
          </c:val>
          <c:extLst>
            <c:ext xmlns:c16="http://schemas.microsoft.com/office/drawing/2014/chart" uri="{C3380CC4-5D6E-409C-BE32-E72D297353CC}">
              <c16:uniqueId val="{00000009-B98F-4FDF-97B1-B9FED2A63C0D}"/>
            </c:ext>
          </c:extLst>
        </c:ser>
        <c:ser>
          <c:idx val="9"/>
          <c:order val="10"/>
          <c:tx>
            <c:strRef>
              <c:f>'KE-Graphik'!$B$76</c:f>
              <c:strCache>
                <c:ptCount val="1"/>
                <c:pt idx="0">
                  <c:v>Nicht Begründet</c:v>
                </c:pt>
              </c:strCache>
            </c:strRef>
          </c:tx>
          <c:invertIfNegative val="0"/>
          <c:cat>
            <c:strRef>
              <c:f>'KE-Graphik'!$F$65</c:f>
              <c:strCache>
                <c:ptCount val="1"/>
                <c:pt idx="0">
                  <c:v>Franken CHF</c:v>
                </c:pt>
              </c:strCache>
            </c:strRef>
          </c:cat>
          <c:val>
            <c:numRef>
              <c:f>'KE-Graphik'!$F$76</c:f>
              <c:numCache>
                <c:formatCode>#,##0</c:formatCode>
                <c:ptCount val="1"/>
                <c:pt idx="0">
                  <c:v>0</c:v>
                </c:pt>
              </c:numCache>
            </c:numRef>
          </c:val>
          <c:extLst>
            <c:ext xmlns:c16="http://schemas.microsoft.com/office/drawing/2014/chart" uri="{C3380CC4-5D6E-409C-BE32-E72D297353CC}">
              <c16:uniqueId val="{0000000A-B98F-4FDF-97B1-B9FED2A63C0D}"/>
            </c:ext>
          </c:extLst>
        </c:ser>
        <c:dLbls>
          <c:showLegendKey val="0"/>
          <c:showVal val="0"/>
          <c:showCatName val="0"/>
          <c:showSerName val="0"/>
          <c:showPercent val="0"/>
          <c:showBubbleSize val="0"/>
        </c:dLbls>
        <c:gapWidth val="150"/>
        <c:overlap val="100"/>
        <c:axId val="392028136"/>
        <c:axId val="392028528"/>
      </c:barChart>
      <c:catAx>
        <c:axId val="392028136"/>
        <c:scaling>
          <c:orientation val="minMax"/>
        </c:scaling>
        <c:delete val="1"/>
        <c:axPos val="b"/>
        <c:numFmt formatCode="General" sourceLinked="0"/>
        <c:majorTickMark val="out"/>
        <c:minorTickMark val="none"/>
        <c:tickLblPos val="nextTo"/>
        <c:crossAx val="392028528"/>
        <c:crosses val="autoZero"/>
        <c:auto val="1"/>
        <c:lblAlgn val="ctr"/>
        <c:lblOffset val="100"/>
        <c:noMultiLvlLbl val="0"/>
      </c:catAx>
      <c:valAx>
        <c:axId val="392028528"/>
        <c:scaling>
          <c:orientation val="minMax"/>
          <c:min val="0"/>
        </c:scaling>
        <c:delete val="0"/>
        <c:axPos val="l"/>
        <c:numFmt formatCode="#,##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2028136"/>
        <c:crosses val="autoZero"/>
        <c:crossBetween val="between"/>
      </c:valAx>
      <c:spPr>
        <a:noFill/>
        <a:ln w="25400">
          <a:noFill/>
        </a:ln>
      </c:spPr>
    </c:plotArea>
    <c:legend>
      <c:legendPos val="r"/>
      <c:layout>
        <c:manualLayout>
          <c:xMode val="edge"/>
          <c:yMode val="edge"/>
          <c:x val="0.37174456159081809"/>
          <c:y val="0.16262788990456653"/>
          <c:w val="0.60873917878909189"/>
          <c:h val="0.58985726385795401"/>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chart" Target="../charts/chart4.xml"/><Relationship Id="rId1" Type="http://schemas.openxmlformats.org/officeDocument/2006/relationships/chart" Target="../charts/chart3.xml"/></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25066</xdr:colOff>
      <xdr:row>3</xdr:row>
      <xdr:rowOff>60158</xdr:rowOff>
    </xdr:from>
    <xdr:to>
      <xdr:col>1</xdr:col>
      <xdr:colOff>225066</xdr:colOff>
      <xdr:row>7</xdr:row>
      <xdr:rowOff>117229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05540" y="496303"/>
          <a:ext cx="200000" cy="638597"/>
        </a:xfrm>
        <a:prstGeom prst="rect">
          <a:avLst/>
        </a:prstGeom>
      </xdr:spPr>
    </xdr:pic>
    <xdr:clientData/>
  </xdr:twoCellAnchor>
  <xdr:twoCellAnchor editAs="oneCell">
    <xdr:from>
      <xdr:col>1</xdr:col>
      <xdr:colOff>38100</xdr:colOff>
      <xdr:row>15</xdr:row>
      <xdr:rowOff>142875</xdr:rowOff>
    </xdr:from>
    <xdr:to>
      <xdr:col>1</xdr:col>
      <xdr:colOff>209529</xdr:colOff>
      <xdr:row>23</xdr:row>
      <xdr:rowOff>37942</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219075" y="2590800"/>
          <a:ext cx="171429" cy="1266667"/>
        </a:xfrm>
        <a:prstGeom prst="rect">
          <a:avLst/>
        </a:prstGeom>
      </xdr:spPr>
    </xdr:pic>
    <xdr:clientData/>
  </xdr:twoCellAnchor>
  <xdr:twoCellAnchor editAs="oneCell">
    <xdr:from>
      <xdr:col>1</xdr:col>
      <xdr:colOff>9525</xdr:colOff>
      <xdr:row>35</xdr:row>
      <xdr:rowOff>104775</xdr:rowOff>
    </xdr:from>
    <xdr:to>
      <xdr:col>1</xdr:col>
      <xdr:colOff>209550</xdr:colOff>
      <xdr:row>40</xdr:row>
      <xdr:rowOff>114192</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stretch>
          <a:fillRect/>
        </a:stretch>
      </xdr:blipFill>
      <xdr:spPr>
        <a:xfrm>
          <a:off x="190500" y="7000875"/>
          <a:ext cx="200025" cy="866667"/>
        </a:xfrm>
        <a:prstGeom prst="rect">
          <a:avLst/>
        </a:prstGeom>
      </xdr:spPr>
    </xdr:pic>
    <xdr:clientData/>
  </xdr:twoCellAnchor>
  <xdr:twoCellAnchor editAs="oneCell">
    <xdr:from>
      <xdr:col>1</xdr:col>
      <xdr:colOff>66675</xdr:colOff>
      <xdr:row>51</xdr:row>
      <xdr:rowOff>142875</xdr:rowOff>
    </xdr:from>
    <xdr:to>
      <xdr:col>1</xdr:col>
      <xdr:colOff>180961</xdr:colOff>
      <xdr:row>59</xdr:row>
      <xdr:rowOff>37942</xdr:rowOff>
    </xdr:to>
    <xdr:pic>
      <xdr:nvPicPr>
        <xdr:cNvPr id="8" name="Grafik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4"/>
        <a:stretch>
          <a:fillRect/>
        </a:stretch>
      </xdr:blipFill>
      <xdr:spPr>
        <a:xfrm>
          <a:off x="247650" y="10810875"/>
          <a:ext cx="114286" cy="1266667"/>
        </a:xfrm>
        <a:prstGeom prst="rect">
          <a:avLst/>
        </a:prstGeom>
      </xdr:spPr>
    </xdr:pic>
    <xdr:clientData/>
  </xdr:twoCellAnchor>
  <xdr:twoCellAnchor editAs="oneCell">
    <xdr:from>
      <xdr:col>1</xdr:col>
      <xdr:colOff>47625</xdr:colOff>
      <xdr:row>70</xdr:row>
      <xdr:rowOff>161925</xdr:rowOff>
    </xdr:from>
    <xdr:to>
      <xdr:col>1</xdr:col>
      <xdr:colOff>209530</xdr:colOff>
      <xdr:row>76</xdr:row>
      <xdr:rowOff>85606</xdr:rowOff>
    </xdr:to>
    <xdr:pic>
      <xdr:nvPicPr>
        <xdr:cNvPr id="10" name="Grafik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228600" y="15116175"/>
          <a:ext cx="161905" cy="952381"/>
        </a:xfrm>
        <a:prstGeom prst="rect">
          <a:avLst/>
        </a:prstGeom>
      </xdr:spPr>
    </xdr:pic>
    <xdr:clientData/>
  </xdr:twoCellAnchor>
  <xdr:twoCellAnchor editAs="oneCell">
    <xdr:from>
      <xdr:col>1</xdr:col>
      <xdr:colOff>38100</xdr:colOff>
      <xdr:row>88</xdr:row>
      <xdr:rowOff>161925</xdr:rowOff>
    </xdr:from>
    <xdr:to>
      <xdr:col>1</xdr:col>
      <xdr:colOff>200005</xdr:colOff>
      <xdr:row>93</xdr:row>
      <xdr:rowOff>152294</xdr:rowOff>
    </xdr:to>
    <xdr:pic>
      <xdr:nvPicPr>
        <xdr:cNvPr id="11" name="Grafik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a:stretch>
          <a:fillRect/>
        </a:stretch>
      </xdr:blipFill>
      <xdr:spPr>
        <a:xfrm>
          <a:off x="219075" y="19230975"/>
          <a:ext cx="161905" cy="847619"/>
        </a:xfrm>
        <a:prstGeom prst="rect">
          <a:avLst/>
        </a:prstGeom>
      </xdr:spPr>
    </xdr:pic>
    <xdr:clientData/>
  </xdr:twoCellAnchor>
  <xdr:twoCellAnchor editAs="oneCell">
    <xdr:from>
      <xdr:col>1</xdr:col>
      <xdr:colOff>57150</xdr:colOff>
      <xdr:row>107</xdr:row>
      <xdr:rowOff>38100</xdr:rowOff>
    </xdr:from>
    <xdr:to>
      <xdr:col>1</xdr:col>
      <xdr:colOff>209531</xdr:colOff>
      <xdr:row>112</xdr:row>
      <xdr:rowOff>76088</xdr:rowOff>
    </xdr:to>
    <xdr:pic>
      <xdr:nvPicPr>
        <xdr:cNvPr id="12" name="Grafik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7"/>
        <a:stretch>
          <a:fillRect/>
        </a:stretch>
      </xdr:blipFill>
      <xdr:spPr>
        <a:xfrm>
          <a:off x="238125" y="23374350"/>
          <a:ext cx="152381" cy="895238"/>
        </a:xfrm>
        <a:prstGeom prst="rect">
          <a:avLst/>
        </a:prstGeom>
      </xdr:spPr>
    </xdr:pic>
    <xdr:clientData/>
  </xdr:twoCellAnchor>
  <xdr:twoCellAnchor editAs="oneCell">
    <xdr:from>
      <xdr:col>1</xdr:col>
      <xdr:colOff>47625</xdr:colOff>
      <xdr:row>123</xdr:row>
      <xdr:rowOff>161925</xdr:rowOff>
    </xdr:from>
    <xdr:to>
      <xdr:col>1</xdr:col>
      <xdr:colOff>190482</xdr:colOff>
      <xdr:row>130</xdr:row>
      <xdr:rowOff>152251</xdr:rowOff>
    </xdr:to>
    <xdr:pic>
      <xdr:nvPicPr>
        <xdr:cNvPr id="14" name="Grafik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8"/>
        <a:stretch>
          <a:fillRect/>
        </a:stretch>
      </xdr:blipFill>
      <xdr:spPr>
        <a:xfrm>
          <a:off x="228600" y="27270075"/>
          <a:ext cx="142857" cy="1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135</xdr:row>
      <xdr:rowOff>133350</xdr:rowOff>
    </xdr:from>
    <xdr:to>
      <xdr:col>18</xdr:col>
      <xdr:colOff>19050</xdr:colOff>
      <xdr:row>162</xdr:row>
      <xdr:rowOff>142875</xdr:rowOff>
    </xdr:to>
    <xdr:graphicFrame macro="">
      <xdr:nvGraphicFramePr>
        <xdr:cNvPr id="2294" name="Diagramm 2">
          <a:extLst>
            <a:ext uri="{FF2B5EF4-FFF2-40B4-BE49-F238E27FC236}">
              <a16:creationId xmlns:a16="http://schemas.microsoft.com/office/drawing/2014/main" id="{00000000-0008-0000-0300-0000F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181</xdr:row>
      <xdr:rowOff>9525</xdr:rowOff>
    </xdr:from>
    <xdr:to>
      <xdr:col>14</xdr:col>
      <xdr:colOff>9525</xdr:colOff>
      <xdr:row>216</xdr:row>
      <xdr:rowOff>114300</xdr:rowOff>
    </xdr:to>
    <xdr:graphicFrame macro="">
      <xdr:nvGraphicFramePr>
        <xdr:cNvPr id="2295" name="Diagramm 8">
          <a:extLst>
            <a:ext uri="{FF2B5EF4-FFF2-40B4-BE49-F238E27FC236}">
              <a16:creationId xmlns:a16="http://schemas.microsoft.com/office/drawing/2014/main" id="{00000000-0008-0000-0300-0000F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0.07214</cdr:x>
      <cdr:y>0.10393</cdr:y>
    </cdr:from>
    <cdr:to>
      <cdr:x>0.11567</cdr:x>
      <cdr:y>0.5358</cdr:y>
    </cdr:to>
    <cdr:sp macro="" textlink="">
      <cdr:nvSpPr>
        <cdr:cNvPr id="2" name="Textfeld 1"/>
        <cdr:cNvSpPr txBox="1"/>
      </cdr:nvSpPr>
      <cdr:spPr>
        <a:xfrm xmlns:a="http://schemas.openxmlformats.org/drawingml/2006/main" rot="16200000">
          <a:off x="-171447" y="1152523"/>
          <a:ext cx="1781175" cy="333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100"/>
            <a:t>Kosten / CHF</a:t>
          </a:r>
        </a:p>
        <a:p xmlns:a="http://schemas.openxmlformats.org/drawingml/2006/main">
          <a:endParaRPr lang="de-CH" sz="1100"/>
        </a:p>
      </cdr:txBody>
    </cdr:sp>
  </cdr:relSizeAnchor>
  <cdr:relSizeAnchor xmlns:cdr="http://schemas.openxmlformats.org/drawingml/2006/chartDrawing">
    <cdr:from>
      <cdr:x>0.52985</cdr:x>
      <cdr:y>0.72825</cdr:y>
    </cdr:from>
    <cdr:to>
      <cdr:x>0.67454</cdr:x>
      <cdr:y>0.80908</cdr:y>
    </cdr:to>
    <cdr:sp macro="" textlink="">
      <cdr:nvSpPr>
        <cdr:cNvPr id="4" name="Textfeld 1"/>
        <cdr:cNvSpPr txBox="1"/>
      </cdr:nvSpPr>
      <cdr:spPr>
        <a:xfrm xmlns:a="http://schemas.openxmlformats.org/drawingml/2006/main">
          <a:off x="4057650" y="3003549"/>
          <a:ext cx="1108076" cy="3333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Phase</a:t>
          </a:r>
          <a:r>
            <a:rPr lang="de-CH" sz="1100" baseline="0"/>
            <a:t> (SIA)</a:t>
          </a:r>
          <a:endParaRPr lang="de-CH" sz="1100"/>
        </a:p>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581025</xdr:colOff>
      <xdr:row>18</xdr:row>
      <xdr:rowOff>19050</xdr:rowOff>
    </xdr:from>
    <xdr:to>
      <xdr:col>17</xdr:col>
      <xdr:colOff>333375</xdr:colOff>
      <xdr:row>57</xdr:row>
      <xdr:rowOff>19050</xdr:rowOff>
    </xdr:to>
    <xdr:graphicFrame macro="">
      <xdr:nvGraphicFramePr>
        <xdr:cNvPr id="249874" name="Diagramm 2">
          <a:extLst>
            <a:ext uri="{FF2B5EF4-FFF2-40B4-BE49-F238E27FC236}">
              <a16:creationId xmlns:a16="http://schemas.microsoft.com/office/drawing/2014/main" id="{00000000-0008-0000-0400-000012D0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77</xdr:row>
      <xdr:rowOff>114300</xdr:rowOff>
    </xdr:from>
    <xdr:to>
      <xdr:col>18</xdr:col>
      <xdr:colOff>19050</xdr:colOff>
      <xdr:row>109</xdr:row>
      <xdr:rowOff>19050</xdr:rowOff>
    </xdr:to>
    <xdr:graphicFrame macro="">
      <xdr:nvGraphicFramePr>
        <xdr:cNvPr id="249875" name="Diagramm 8">
          <a:extLst>
            <a:ext uri="{FF2B5EF4-FFF2-40B4-BE49-F238E27FC236}">
              <a16:creationId xmlns:a16="http://schemas.microsoft.com/office/drawing/2014/main" id="{00000000-0008-0000-0400-000013D0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9523</xdr:colOff>
      <xdr:row>65</xdr:row>
      <xdr:rowOff>38105</xdr:rowOff>
    </xdr:from>
    <xdr:to>
      <xdr:col>0</xdr:col>
      <xdr:colOff>161925</xdr:colOff>
      <xdr:row>76</xdr:row>
      <xdr:rowOff>123821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3"/>
        <a:srcRect l="40023" r="30897"/>
        <a:stretch/>
      </xdr:blipFill>
      <xdr:spPr>
        <a:xfrm flipH="1">
          <a:off x="9523" y="9144005"/>
          <a:ext cx="152402" cy="1838316"/>
        </a:xfrm>
        <a:prstGeom prst="rect">
          <a:avLst/>
        </a:prstGeom>
        <a:scene3d>
          <a:camera prst="orthographicFront">
            <a:rot lat="0" lon="0" rev="10800000"/>
          </a:camera>
          <a:lightRig rig="threePt" dir="t"/>
        </a:scene3d>
      </xdr:spPr>
    </xdr:pic>
    <xdr:clientData/>
  </xdr:twoCellAnchor>
</xdr:wsDr>
</file>

<file path=xl/drawings/drawing5.xml><?xml version="1.0" encoding="utf-8"?>
<c:userShapes xmlns:c="http://schemas.openxmlformats.org/drawingml/2006/chart">
  <cdr:relSizeAnchor xmlns:cdr="http://schemas.openxmlformats.org/drawingml/2006/chartDrawing">
    <cdr:from>
      <cdr:x>0.07214</cdr:x>
      <cdr:y>0.10393</cdr:y>
    </cdr:from>
    <cdr:to>
      <cdr:x>0.11567</cdr:x>
      <cdr:y>0.5358</cdr:y>
    </cdr:to>
    <cdr:sp macro="" textlink="">
      <cdr:nvSpPr>
        <cdr:cNvPr id="2" name="Textfeld 1"/>
        <cdr:cNvSpPr txBox="1"/>
      </cdr:nvSpPr>
      <cdr:spPr>
        <a:xfrm xmlns:a="http://schemas.openxmlformats.org/drawingml/2006/main" rot="16200000">
          <a:off x="-171447" y="1152523"/>
          <a:ext cx="1781175" cy="333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CH" sz="1100"/>
            <a:t>Kosten / CHF</a:t>
          </a:r>
        </a:p>
        <a:p xmlns:a="http://schemas.openxmlformats.org/drawingml/2006/main">
          <a:endParaRPr lang="de-CH" sz="1100"/>
        </a:p>
      </cdr:txBody>
    </cdr:sp>
  </cdr:relSizeAnchor>
  <cdr:relSizeAnchor xmlns:cdr="http://schemas.openxmlformats.org/drawingml/2006/chartDrawing">
    <cdr:from>
      <cdr:x>0.51982</cdr:x>
      <cdr:y>0.66575</cdr:y>
    </cdr:from>
    <cdr:to>
      <cdr:x>0.66451</cdr:x>
      <cdr:y>0.74658</cdr:y>
    </cdr:to>
    <cdr:sp macro="" textlink="">
      <cdr:nvSpPr>
        <cdr:cNvPr id="4" name="Textfeld 1"/>
        <cdr:cNvSpPr txBox="1"/>
      </cdr:nvSpPr>
      <cdr:spPr>
        <a:xfrm xmlns:a="http://schemas.openxmlformats.org/drawingml/2006/main">
          <a:off x="3951163" y="3956952"/>
          <a:ext cx="1099782" cy="4804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Phase</a:t>
          </a:r>
          <a:r>
            <a:rPr lang="de-CH" sz="1100" baseline="0"/>
            <a:t> (SIA)</a:t>
          </a:r>
          <a:endParaRPr lang="de-CH" sz="1100"/>
        </a:p>
        <a:p xmlns:a="http://schemas.openxmlformats.org/drawingml/2006/main">
          <a:endParaRPr lang="de-CH" sz="1100"/>
        </a:p>
      </cdr:txBody>
    </cdr:sp>
  </cdr:relSizeAnchor>
</c:userShapes>
</file>

<file path=xl/drawings/drawing6.xml><?xml version="1.0" encoding="utf-8"?>
<c:userShapes xmlns:c="http://schemas.openxmlformats.org/drawingml/2006/chart">
  <cdr:relSizeAnchor xmlns:cdr="http://schemas.openxmlformats.org/drawingml/2006/chartDrawing">
    <cdr:from>
      <cdr:x>0.0297</cdr:x>
      <cdr:y>0.41297</cdr:y>
    </cdr:from>
    <cdr:to>
      <cdr:x>0.06079</cdr:x>
      <cdr:y>0.62546</cdr:y>
    </cdr:to>
    <cdr:sp macro="" textlink="">
      <cdr:nvSpPr>
        <cdr:cNvPr id="2" name="Textfeld 1"/>
        <cdr:cNvSpPr txBox="1"/>
      </cdr:nvSpPr>
      <cdr:spPr>
        <a:xfrm xmlns:a="http://schemas.openxmlformats.org/drawingml/2006/main" rot="16200000">
          <a:off x="570" y="2307922"/>
          <a:ext cx="1016032" cy="3494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Kosten / CHF</a:t>
          </a:r>
        </a:p>
        <a:p xmlns:a="http://schemas.openxmlformats.org/drawingml/2006/main">
          <a:endParaRPr lang="de-CH" sz="1100"/>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0000"/>
  </sheetPr>
  <dimension ref="A1:N29"/>
  <sheetViews>
    <sheetView showGridLines="0" showRowColHeaders="0" zoomScale="150" zoomScaleNormal="150" workbookViewId="0">
      <selection activeCell="D5" sqref="D5"/>
    </sheetView>
  </sheetViews>
  <sheetFormatPr baseColWidth="10" defaultRowHeight="12.75" x14ac:dyDescent="0.2"/>
  <cols>
    <col min="1" max="1" width="45.5703125" customWidth="1"/>
    <col min="2" max="2" width="27.28515625" customWidth="1"/>
    <col min="3" max="3" width="6.28515625" style="397" hidden="1" customWidth="1"/>
    <col min="4" max="4" width="11.42578125" style="397"/>
  </cols>
  <sheetData>
    <row r="1" spans="1:14" x14ac:dyDescent="0.2">
      <c r="A1" s="163"/>
      <c r="B1" s="163"/>
      <c r="C1" s="399"/>
      <c r="D1" s="399"/>
      <c r="E1" s="163"/>
      <c r="F1" s="163"/>
      <c r="G1" s="163"/>
      <c r="H1" s="163"/>
      <c r="I1" s="163"/>
      <c r="J1" s="163"/>
      <c r="K1" s="163"/>
      <c r="L1" s="163"/>
      <c r="M1" s="163"/>
      <c r="N1" s="163"/>
    </row>
    <row r="2" spans="1:14" ht="72.75" customHeight="1" x14ac:dyDescent="0.2">
      <c r="A2" s="163"/>
      <c r="B2" s="163"/>
      <c r="C2" s="399"/>
      <c r="D2" s="399"/>
      <c r="E2" s="163"/>
      <c r="F2" s="163"/>
      <c r="G2" s="163"/>
      <c r="H2" s="163"/>
      <c r="I2" s="163"/>
      <c r="J2" s="163"/>
      <c r="K2" s="163"/>
      <c r="L2" s="163"/>
      <c r="M2" s="163"/>
      <c r="N2" s="163"/>
    </row>
    <row r="3" spans="1:14" x14ac:dyDescent="0.2">
      <c r="A3" s="163"/>
      <c r="B3" s="936" t="s">
        <v>633</v>
      </c>
      <c r="C3" s="932" t="s">
        <v>630</v>
      </c>
      <c r="D3" s="937" t="s">
        <v>623</v>
      </c>
      <c r="E3" s="163"/>
      <c r="F3" s="163"/>
      <c r="G3" s="163"/>
      <c r="H3" s="163"/>
      <c r="I3" s="163"/>
      <c r="J3" s="163"/>
      <c r="K3" s="163"/>
      <c r="L3" s="163"/>
      <c r="M3" s="163"/>
    </row>
    <row r="4" spans="1:14" x14ac:dyDescent="0.2">
      <c r="A4" s="163"/>
      <c r="B4" s="231"/>
      <c r="C4" s="398"/>
      <c r="D4" s="933"/>
      <c r="E4" s="163"/>
      <c r="F4" s="163"/>
      <c r="G4" s="163"/>
      <c r="H4" s="163"/>
      <c r="I4" s="163"/>
      <c r="J4" s="163"/>
      <c r="K4" s="163"/>
      <c r="L4" s="163"/>
      <c r="M4" s="163"/>
    </row>
    <row r="5" spans="1:14" x14ac:dyDescent="0.2">
      <c r="A5" s="163"/>
      <c r="B5" s="231" t="s">
        <v>624</v>
      </c>
      <c r="C5" s="398">
        <v>2</v>
      </c>
      <c r="D5" s="934"/>
      <c r="E5" s="163"/>
      <c r="F5" s="163"/>
      <c r="G5" s="163"/>
      <c r="H5" s="163"/>
      <c r="I5" s="163"/>
      <c r="J5" s="163"/>
      <c r="K5" s="163"/>
      <c r="L5" s="163"/>
      <c r="M5" s="163"/>
    </row>
    <row r="6" spans="1:14" x14ac:dyDescent="0.2">
      <c r="A6" s="163"/>
      <c r="B6" s="231" t="s">
        <v>625</v>
      </c>
      <c r="C6" s="398">
        <v>3</v>
      </c>
      <c r="D6" s="934"/>
      <c r="E6" s="163"/>
      <c r="F6" s="163"/>
      <c r="G6" s="163"/>
      <c r="H6" s="163"/>
      <c r="I6" s="163"/>
      <c r="J6" s="163"/>
      <c r="K6" s="163"/>
      <c r="L6" s="163"/>
      <c r="M6" s="163"/>
    </row>
    <row r="7" spans="1:14" x14ac:dyDescent="0.2">
      <c r="A7" s="163"/>
      <c r="B7" s="231" t="s">
        <v>626</v>
      </c>
      <c r="C7" s="398">
        <v>4</v>
      </c>
      <c r="D7" s="934" t="s">
        <v>762</v>
      </c>
      <c r="E7" s="163"/>
      <c r="F7" s="163"/>
      <c r="G7" s="163"/>
      <c r="H7" s="163"/>
      <c r="I7" s="163"/>
      <c r="J7" s="163"/>
      <c r="K7" s="163"/>
      <c r="L7" s="163"/>
      <c r="M7" s="163"/>
    </row>
    <row r="8" spans="1:14" x14ac:dyDescent="0.2">
      <c r="A8" s="163"/>
      <c r="B8" s="230" t="s">
        <v>693</v>
      </c>
      <c r="C8" s="398">
        <v>5</v>
      </c>
      <c r="D8" s="934" t="s">
        <v>762</v>
      </c>
      <c r="E8" s="163"/>
      <c r="F8" s="163"/>
      <c r="G8" s="163"/>
      <c r="H8" s="163"/>
      <c r="I8" s="163"/>
      <c r="J8" s="163"/>
      <c r="K8" s="163"/>
      <c r="L8" s="163"/>
      <c r="M8" s="163"/>
    </row>
    <row r="9" spans="1:14" x14ac:dyDescent="0.2">
      <c r="A9" s="163"/>
      <c r="B9" s="231" t="s">
        <v>627</v>
      </c>
      <c r="C9" s="398">
        <v>6</v>
      </c>
      <c r="D9" s="934" t="s">
        <v>762</v>
      </c>
      <c r="E9" s="163"/>
      <c r="F9" s="163"/>
      <c r="G9" s="163"/>
      <c r="H9" s="163"/>
      <c r="I9" s="163"/>
      <c r="J9" s="163"/>
      <c r="K9" s="163"/>
      <c r="L9" s="163"/>
      <c r="M9" s="163"/>
    </row>
    <row r="10" spans="1:14" x14ac:dyDescent="0.2">
      <c r="A10" s="163"/>
      <c r="B10" s="231" t="s">
        <v>199</v>
      </c>
      <c r="C10" s="398">
        <v>7</v>
      </c>
      <c r="D10" s="934"/>
      <c r="E10" s="163"/>
      <c r="F10" s="163"/>
      <c r="G10" s="163"/>
      <c r="H10" s="163"/>
      <c r="I10" s="163"/>
      <c r="J10" s="163"/>
      <c r="K10" s="163"/>
      <c r="L10" s="163"/>
      <c r="M10" s="163"/>
    </row>
    <row r="11" spans="1:14" x14ac:dyDescent="0.2">
      <c r="A11" s="163"/>
      <c r="B11" s="231" t="s">
        <v>628</v>
      </c>
      <c r="C11" s="398">
        <v>8</v>
      </c>
      <c r="D11" s="934"/>
      <c r="E11" s="163"/>
      <c r="F11" s="163"/>
      <c r="G11" s="163"/>
      <c r="H11" s="163"/>
      <c r="I11" s="163"/>
      <c r="J11" s="163"/>
      <c r="K11" s="163"/>
      <c r="L11" s="163"/>
      <c r="M11" s="163"/>
    </row>
    <row r="12" spans="1:14" x14ac:dyDescent="0.2">
      <c r="A12" s="163"/>
      <c r="B12" s="231" t="s">
        <v>629</v>
      </c>
      <c r="C12" s="398">
        <v>9</v>
      </c>
      <c r="D12" s="934"/>
      <c r="E12" s="163"/>
      <c r="F12" s="163"/>
      <c r="G12" s="163"/>
      <c r="H12" s="163"/>
      <c r="I12" s="163"/>
      <c r="J12" s="163"/>
      <c r="K12" s="163"/>
      <c r="L12" s="163"/>
      <c r="M12" s="163"/>
    </row>
    <row r="13" spans="1:14" x14ac:dyDescent="0.2">
      <c r="A13" s="163"/>
      <c r="B13" s="231"/>
      <c r="C13" s="935" t="s">
        <v>632</v>
      </c>
      <c r="D13" s="933"/>
      <c r="E13" s="163"/>
      <c r="F13" s="163"/>
      <c r="G13" s="163"/>
      <c r="H13" s="163"/>
      <c r="I13" s="163"/>
      <c r="J13" s="163"/>
      <c r="K13" s="163"/>
      <c r="L13" s="163"/>
      <c r="M13" s="163"/>
    </row>
    <row r="14" spans="1:14" x14ac:dyDescent="0.2">
      <c r="A14" s="163"/>
      <c r="B14" s="163"/>
      <c r="C14" s="163"/>
      <c r="D14" s="163"/>
      <c r="E14" s="163"/>
      <c r="F14" s="163"/>
      <c r="G14" s="163"/>
      <c r="H14" s="163"/>
      <c r="I14" s="163"/>
      <c r="J14" s="163"/>
      <c r="K14" s="163"/>
      <c r="L14" s="163"/>
      <c r="M14" s="163"/>
    </row>
    <row r="15" spans="1:14" ht="18" customHeight="1" x14ac:dyDescent="0.2">
      <c r="A15" s="163"/>
      <c r="B15" s="163"/>
      <c r="C15" s="163"/>
      <c r="D15" s="163"/>
      <c r="E15" s="163"/>
      <c r="F15" s="163"/>
      <c r="G15" s="163"/>
      <c r="H15" s="163"/>
      <c r="I15" s="163"/>
      <c r="J15" s="163"/>
      <c r="K15" s="163"/>
      <c r="L15" s="163"/>
      <c r="M15" s="163"/>
    </row>
    <row r="16" spans="1:14" ht="23.25" customHeight="1" x14ac:dyDescent="0.2">
      <c r="A16" s="163"/>
      <c r="B16" s="163"/>
      <c r="C16" s="163"/>
      <c r="D16" s="163"/>
      <c r="E16" s="163"/>
      <c r="F16" s="163"/>
      <c r="G16" s="163"/>
      <c r="H16" s="163"/>
      <c r="I16" s="163"/>
      <c r="J16" s="163"/>
      <c r="K16" s="163"/>
      <c r="L16" s="163"/>
      <c r="M16" s="163"/>
    </row>
    <row r="17" spans="1:13" x14ac:dyDescent="0.2">
      <c r="A17" s="163"/>
      <c r="B17" s="163"/>
      <c r="C17" s="399"/>
      <c r="D17" s="399"/>
      <c r="E17" s="163"/>
      <c r="F17" s="163"/>
      <c r="G17" s="163"/>
      <c r="H17" s="163"/>
      <c r="I17" s="163"/>
      <c r="J17" s="163"/>
      <c r="K17" s="163"/>
      <c r="L17" s="163"/>
      <c r="M17" s="163"/>
    </row>
    <row r="18" spans="1:13" x14ac:dyDescent="0.2">
      <c r="A18" s="163"/>
      <c r="B18" s="163"/>
      <c r="C18" s="399"/>
      <c r="D18" s="399"/>
      <c r="E18" s="163"/>
      <c r="F18" s="163"/>
      <c r="G18" s="163"/>
      <c r="H18" s="163"/>
      <c r="I18" s="163"/>
      <c r="J18" s="163"/>
      <c r="K18" s="163"/>
      <c r="L18" s="163"/>
      <c r="M18" s="163"/>
    </row>
    <row r="19" spans="1:13" x14ac:dyDescent="0.2">
      <c r="A19" s="163"/>
      <c r="B19" s="163"/>
      <c r="C19" s="399"/>
      <c r="D19" s="399"/>
      <c r="E19" s="163"/>
      <c r="F19" s="163"/>
      <c r="G19" s="163"/>
      <c r="H19" s="163"/>
      <c r="I19" s="163"/>
      <c r="J19" s="163"/>
      <c r="K19" s="163"/>
      <c r="L19" s="163"/>
      <c r="M19" s="163"/>
    </row>
    <row r="20" spans="1:13" x14ac:dyDescent="0.2">
      <c r="A20" s="163"/>
      <c r="B20" s="163"/>
      <c r="C20" s="399"/>
      <c r="D20" s="399"/>
      <c r="E20" s="163"/>
      <c r="F20" s="163"/>
      <c r="G20" s="163"/>
      <c r="H20" s="163"/>
      <c r="I20" s="163"/>
      <c r="J20" s="163"/>
      <c r="K20" s="163"/>
      <c r="L20" s="163"/>
      <c r="M20" s="163"/>
    </row>
    <row r="21" spans="1:13" x14ac:dyDescent="0.2">
      <c r="A21" s="163"/>
      <c r="B21" s="163"/>
      <c r="C21" s="399"/>
      <c r="D21" s="399"/>
      <c r="E21" s="163"/>
      <c r="F21" s="163"/>
      <c r="G21" s="163"/>
      <c r="H21" s="163"/>
      <c r="I21" s="163"/>
      <c r="J21" s="163"/>
      <c r="K21" s="163"/>
      <c r="L21" s="163"/>
      <c r="M21" s="163"/>
    </row>
    <row r="22" spans="1:13" x14ac:dyDescent="0.2">
      <c r="A22" s="163"/>
      <c r="B22" s="163"/>
      <c r="C22" s="399"/>
      <c r="D22" s="399"/>
      <c r="E22" s="163"/>
      <c r="F22" s="163"/>
      <c r="G22" s="163"/>
      <c r="H22" s="163"/>
      <c r="I22" s="163"/>
      <c r="J22" s="163"/>
      <c r="K22" s="163"/>
      <c r="L22" s="163"/>
      <c r="M22" s="163"/>
    </row>
    <row r="23" spans="1:13" x14ac:dyDescent="0.2">
      <c r="A23" s="163"/>
      <c r="B23" s="163"/>
      <c r="C23" s="399"/>
      <c r="D23" s="399"/>
      <c r="E23" s="163"/>
      <c r="F23" s="163"/>
      <c r="G23" s="163"/>
      <c r="H23" s="163"/>
      <c r="I23" s="163"/>
      <c r="J23" s="163"/>
      <c r="K23" s="163"/>
      <c r="L23" s="163"/>
      <c r="M23" s="163"/>
    </row>
    <row r="24" spans="1:13" x14ac:dyDescent="0.2">
      <c r="A24" s="163"/>
      <c r="B24" s="163"/>
      <c r="C24" s="399"/>
      <c r="D24" s="399"/>
      <c r="E24" s="163"/>
      <c r="F24" s="163"/>
      <c r="G24" s="163"/>
      <c r="H24" s="163"/>
      <c r="I24" s="163"/>
      <c r="J24" s="163"/>
      <c r="K24" s="163"/>
      <c r="L24" s="163"/>
      <c r="M24" s="163"/>
    </row>
    <row r="25" spans="1:13" x14ac:dyDescent="0.2">
      <c r="A25" s="163"/>
      <c r="B25" s="163"/>
      <c r="C25" s="399"/>
      <c r="D25" s="399"/>
      <c r="E25" s="163"/>
      <c r="F25" s="163"/>
      <c r="G25" s="163"/>
      <c r="H25" s="163"/>
      <c r="I25" s="163"/>
      <c r="J25" s="163"/>
      <c r="K25" s="163"/>
      <c r="L25" s="163"/>
      <c r="M25" s="163"/>
    </row>
    <row r="26" spans="1:13" x14ac:dyDescent="0.2">
      <c r="A26" s="163"/>
      <c r="B26" s="163"/>
      <c r="C26" s="399"/>
      <c r="D26" s="399"/>
      <c r="E26" s="163"/>
      <c r="F26" s="163"/>
      <c r="G26" s="163"/>
      <c r="H26" s="163"/>
      <c r="I26" s="163"/>
      <c r="J26" s="163"/>
      <c r="K26" s="163"/>
      <c r="L26" s="163"/>
      <c r="M26" s="163"/>
    </row>
    <row r="27" spans="1:13" x14ac:dyDescent="0.2">
      <c r="A27" s="163"/>
      <c r="B27" s="163"/>
      <c r="C27" s="399"/>
      <c r="D27" s="399"/>
      <c r="E27" s="163"/>
      <c r="F27" s="163"/>
      <c r="G27" s="163"/>
      <c r="H27" s="163"/>
      <c r="I27" s="163"/>
      <c r="J27" s="163"/>
      <c r="K27" s="163"/>
      <c r="L27" s="163"/>
      <c r="M27" s="163"/>
    </row>
    <row r="28" spans="1:13" x14ac:dyDescent="0.2">
      <c r="A28" s="163"/>
      <c r="B28" s="163"/>
      <c r="C28" s="399"/>
      <c r="D28" s="399"/>
      <c r="E28" s="163"/>
      <c r="F28" s="163"/>
      <c r="G28" s="163"/>
      <c r="H28" s="163"/>
      <c r="I28" s="163"/>
      <c r="J28" s="163"/>
      <c r="K28" s="163"/>
      <c r="L28" s="163"/>
      <c r="M28" s="163"/>
    </row>
    <row r="29" spans="1:13" x14ac:dyDescent="0.2">
      <c r="A29" s="163"/>
      <c r="B29" s="163"/>
      <c r="C29" s="399"/>
      <c r="D29" s="399"/>
      <c r="E29" s="163"/>
      <c r="F29" s="163"/>
      <c r="G29" s="163"/>
      <c r="H29" s="163"/>
      <c r="I29" s="163"/>
      <c r="J29" s="163"/>
      <c r="K29" s="163"/>
      <c r="L29" s="163"/>
      <c r="M29" s="163"/>
    </row>
  </sheetData>
  <sheetProtection selectLockedCells="1"/>
  <conditionalFormatting sqref="B5:D12">
    <cfRule type="expression" dxfId="28" priority="4" stopIfTrue="1">
      <formula>$D5="X"</formula>
    </cfRule>
  </conditionalFormatting>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V118"/>
  <sheetViews>
    <sheetView workbookViewId="0">
      <selection activeCell="Y40" sqref="Y40"/>
    </sheetView>
  </sheetViews>
  <sheetFormatPr baseColWidth="10" defaultRowHeight="12.75" x14ac:dyDescent="0.2"/>
  <cols>
    <col min="1" max="2" width="23.7109375" customWidth="1"/>
    <col min="5" max="24" width="0" hidden="1" customWidth="1"/>
  </cols>
  <sheetData>
    <row r="1" spans="1:22" x14ac:dyDescent="0.2">
      <c r="A1" s="1178" t="s">
        <v>817</v>
      </c>
      <c r="B1" s="1179"/>
      <c r="C1" s="1179"/>
      <c r="D1" s="1179"/>
      <c r="E1" s="1179" t="s">
        <v>763</v>
      </c>
      <c r="F1" s="1180"/>
      <c r="G1" s="1180"/>
      <c r="H1" s="1180"/>
      <c r="I1" s="1180"/>
      <c r="N1" s="136" t="s">
        <v>80</v>
      </c>
      <c r="O1" s="136" t="s">
        <v>81</v>
      </c>
      <c r="P1" s="136" t="s">
        <v>82</v>
      </c>
    </row>
    <row r="2" spans="1:22" ht="13.5" thickBot="1" x14ac:dyDescent="0.25"/>
    <row r="3" spans="1:22" ht="13.5" thickBot="1" x14ac:dyDescent="0.25">
      <c r="A3" t="s">
        <v>153</v>
      </c>
      <c r="B3" s="247">
        <v>2000</v>
      </c>
      <c r="C3" s="941">
        <v>105.1</v>
      </c>
      <c r="D3" s="941"/>
      <c r="F3" t="s">
        <v>174</v>
      </c>
      <c r="I3" s="82">
        <v>0</v>
      </c>
      <c r="J3" s="81"/>
      <c r="K3" s="81" t="s">
        <v>86</v>
      </c>
      <c r="L3" s="81"/>
      <c r="M3" s="56" t="s">
        <v>19</v>
      </c>
      <c r="N3" s="127"/>
      <c r="O3" s="127"/>
      <c r="P3" s="128"/>
    </row>
    <row r="4" spans="1:22" x14ac:dyDescent="0.2">
      <c r="A4" s="136" t="s">
        <v>154</v>
      </c>
      <c r="B4" s="248">
        <v>2001</v>
      </c>
      <c r="C4" s="941">
        <v>110.1</v>
      </c>
      <c r="D4" s="941"/>
      <c r="E4" t="str">
        <f>IF(B8_04_7KOIN&gt;1,B8_04_7KOIN,IF(AND(B8_04_6KOIN&gt;1,B8_04_7KOIN=""),B8_04_6KOIN,IF(AND(B8_04_5KOIN&gt;1,B8_04_6KOIN=""),B8_04_5KOIN,IF(AND(B8_04_4KOIN&gt;1,B8_04_5KOIN=""),B8_04_4KOIN,IF(AND(B8_04_3KOIN&gt;1,B8_04_4KOIN=""),B8_04_3KOIN,IF(AND(B8_04_2KOIN&gt;1,B8_04_3KOIN=""),B8_04_2KOIN,IF(AND(B8_04_1KOIN&gt;1,B8_04_2KOIN=""),B8_04_1KOIN,"")))))))</f>
        <v/>
      </c>
      <c r="F4" t="str">
        <f>IF(TRIM(B8_04_7KOIN)&lt;&gt;"",TRIM(B8_04_7KOIN),IF(AND(TRIM(B8_04_6KOIN)&lt;&gt;"",TRIM(B8_04_7KOIN)=""),TRIM(B8_04_6KOIN),IF(AND(TRIM(B8_04_5KOIN)&lt;&gt;"",TRIM(B8_04_6KOIN)=""),TRIM(B8_04_5KOIN),IF(AND(TRIM(B8_04_4KOIN)&lt;&gt;"",TRIM(B8_04_5KOIN)=""),TRIM(B8_04_4KOIN),IF(AND(TRIM(B8_04_3KOIN)&lt;&gt;"",TRIM(B8_04_4KOIN)=""),TRIM(B8_04_3KOIN),IF(AND(TRIM(B8_04_2KOIN)&lt;&gt;"",TRIM(B8_04_3KOIN)=""),TRIM(B8_04_2KOIN),IF(AND(TRIM(B8_04_1KOIN)&lt;&gt;"",TRIM(B8_04_2KOIN)=""),TRIM(B8_04_1KOIN),"")))))))</f>
        <v/>
      </c>
      <c r="G4" s="247" t="e">
        <f>VALUE(LEFT(B8_04_INJAHR,4))</f>
        <v>#VALUE!</v>
      </c>
      <c r="I4" s="70">
        <v>1</v>
      </c>
      <c r="J4" s="53"/>
      <c r="K4" s="54" t="s">
        <v>84</v>
      </c>
      <c r="L4" s="55"/>
      <c r="M4" s="56" t="s">
        <v>19</v>
      </c>
      <c r="N4" s="127"/>
      <c r="O4" s="127"/>
      <c r="P4" s="128"/>
    </row>
    <row r="5" spans="1:22" x14ac:dyDescent="0.2">
      <c r="A5" s="136" t="s">
        <v>155</v>
      </c>
      <c r="B5" s="248">
        <v>2002</v>
      </c>
      <c r="C5" s="941">
        <v>110</v>
      </c>
      <c r="D5" s="941"/>
      <c r="F5" s="136" t="e">
        <f>VLOOKUP(G4,B3:C26,2)</f>
        <v>#VALUE!</v>
      </c>
      <c r="G5" s="249"/>
      <c r="I5" s="71">
        <v>2</v>
      </c>
      <c r="J5" s="49"/>
      <c r="K5" s="36" t="s">
        <v>21</v>
      </c>
      <c r="L5" s="45"/>
      <c r="M5" s="4" t="s">
        <v>19</v>
      </c>
      <c r="N5" s="129"/>
      <c r="O5" s="129"/>
      <c r="P5" s="129"/>
    </row>
    <row r="6" spans="1:22" x14ac:dyDescent="0.2">
      <c r="A6" t="s">
        <v>156</v>
      </c>
      <c r="B6" s="248">
        <v>2003</v>
      </c>
      <c r="C6" s="941">
        <v>106.6</v>
      </c>
      <c r="D6" s="941"/>
      <c r="F6" t="s">
        <v>177</v>
      </c>
      <c r="I6" s="71">
        <v>3</v>
      </c>
      <c r="J6" s="49"/>
      <c r="K6" s="36" t="s">
        <v>22</v>
      </c>
      <c r="L6" s="45"/>
      <c r="M6" s="4" t="s">
        <v>19</v>
      </c>
      <c r="N6" s="129"/>
      <c r="O6" s="129"/>
      <c r="P6" s="135"/>
    </row>
    <row r="7" spans="1:22" x14ac:dyDescent="0.2">
      <c r="A7" s="136" t="s">
        <v>157</v>
      </c>
      <c r="B7" s="247">
        <v>2004</v>
      </c>
      <c r="C7" s="157">
        <v>107.6</v>
      </c>
      <c r="D7" s="941"/>
      <c r="E7" s="229">
        <f>B8_04_1VKOIN</f>
        <v>0</v>
      </c>
      <c r="F7" s="229">
        <f>VALUE(LEFT(E7,4))</f>
        <v>0</v>
      </c>
      <c r="G7" s="157" t="e">
        <f>VLOOKUP(F7,B3:C25,2)</f>
        <v>#N/A</v>
      </c>
      <c r="I7" s="71">
        <v>4</v>
      </c>
      <c r="J7" s="49"/>
      <c r="K7" s="36" t="s">
        <v>23</v>
      </c>
      <c r="L7" s="45"/>
      <c r="M7" s="4" t="s">
        <v>19</v>
      </c>
      <c r="N7" s="129"/>
      <c r="O7" s="129"/>
      <c r="P7" s="135"/>
    </row>
    <row r="8" spans="1:22" x14ac:dyDescent="0.2">
      <c r="A8" s="136" t="s">
        <v>158</v>
      </c>
      <c r="B8" s="248">
        <v>2005</v>
      </c>
      <c r="C8" s="157">
        <v>110.2</v>
      </c>
      <c r="D8" s="941"/>
      <c r="F8" t="s">
        <v>178</v>
      </c>
      <c r="I8" s="71">
        <v>5</v>
      </c>
      <c r="J8" s="49"/>
      <c r="K8" s="36" t="s">
        <v>24</v>
      </c>
      <c r="L8" s="45"/>
      <c r="M8" s="4" t="s">
        <v>19</v>
      </c>
      <c r="N8" s="129"/>
      <c r="O8" s="129"/>
      <c r="P8" s="135"/>
    </row>
    <row r="9" spans="1:22" x14ac:dyDescent="0.2">
      <c r="A9" t="s">
        <v>159</v>
      </c>
      <c r="B9" s="248">
        <v>2006</v>
      </c>
      <c r="C9" s="157">
        <v>111.9</v>
      </c>
      <c r="D9" s="941"/>
      <c r="E9">
        <f>B8_04_2VKOIN</f>
        <v>0</v>
      </c>
      <c r="F9">
        <f>VALUE(LEFT(E9,4))</f>
        <v>0</v>
      </c>
      <c r="G9" s="157" t="e">
        <f>VLOOKUP(F9,B3:C25,2)</f>
        <v>#N/A</v>
      </c>
      <c r="I9" s="152" t="s">
        <v>143</v>
      </c>
      <c r="J9" s="153"/>
      <c r="K9" s="153" t="s">
        <v>144</v>
      </c>
      <c r="L9" s="45"/>
      <c r="M9" s="4" t="s">
        <v>19</v>
      </c>
      <c r="N9" s="129"/>
      <c r="O9" s="129"/>
      <c r="P9" s="135"/>
      <c r="Q9" s="229" t="s">
        <v>209</v>
      </c>
      <c r="S9" s="230" t="s">
        <v>196</v>
      </c>
      <c r="T9" s="231"/>
      <c r="U9" s="231"/>
      <c r="V9" s="231"/>
    </row>
    <row r="10" spans="1:22" x14ac:dyDescent="0.2">
      <c r="A10" s="136" t="s">
        <v>160</v>
      </c>
      <c r="B10" s="248">
        <v>2007</v>
      </c>
      <c r="C10" s="157">
        <v>117</v>
      </c>
      <c r="D10" s="941"/>
      <c r="F10" t="s">
        <v>179</v>
      </c>
      <c r="I10" s="71">
        <v>9</v>
      </c>
      <c r="J10" s="49"/>
      <c r="K10" s="36" t="s">
        <v>25</v>
      </c>
      <c r="L10" s="45"/>
      <c r="M10" s="4" t="s">
        <v>19</v>
      </c>
      <c r="N10" s="129"/>
      <c r="O10" s="129"/>
      <c r="P10" s="135"/>
    </row>
    <row r="11" spans="1:22" ht="13.5" thickBot="1" x14ac:dyDescent="0.25">
      <c r="A11" s="136" t="s">
        <v>161</v>
      </c>
      <c r="B11" s="247">
        <v>2008</v>
      </c>
      <c r="C11" s="157">
        <v>121.7</v>
      </c>
      <c r="D11" s="941"/>
      <c r="E11">
        <f>B8_04_3VKOIN</f>
        <v>0</v>
      </c>
      <c r="F11">
        <f>VALUE(LEFT(E11,4))</f>
        <v>0</v>
      </c>
      <c r="G11" s="157" t="e">
        <f>VLOOKUP(F11,B3:C25,2)</f>
        <v>#N/A</v>
      </c>
      <c r="I11" s="72"/>
      <c r="J11" s="65"/>
      <c r="K11" s="66" t="s">
        <v>111</v>
      </c>
      <c r="L11" s="67"/>
      <c r="M11" s="63" t="s">
        <v>19</v>
      </c>
      <c r="N11" s="130"/>
      <c r="O11" s="130"/>
      <c r="P11" s="130"/>
    </row>
    <row r="12" spans="1:22" x14ac:dyDescent="0.2">
      <c r="A12" t="s">
        <v>162</v>
      </c>
      <c r="B12" s="248">
        <v>2009</v>
      </c>
      <c r="C12" s="157">
        <v>122.2</v>
      </c>
      <c r="D12" s="941"/>
      <c r="I12" s="68"/>
      <c r="J12" s="51"/>
      <c r="K12" s="37" t="s">
        <v>112</v>
      </c>
      <c r="L12" s="46"/>
      <c r="M12" s="4" t="s">
        <v>19</v>
      </c>
      <c r="N12" s="129"/>
      <c r="O12" s="129"/>
      <c r="P12" s="129"/>
    </row>
    <row r="13" spans="1:22" ht="13.5" thickBot="1" x14ac:dyDescent="0.25">
      <c r="A13" s="136" t="s">
        <v>163</v>
      </c>
      <c r="B13" s="248">
        <v>2010</v>
      </c>
      <c r="C13" s="157">
        <v>123.6</v>
      </c>
      <c r="D13" s="941"/>
      <c r="I13" s="64"/>
      <c r="J13" s="65"/>
      <c r="K13" s="66" t="s">
        <v>93</v>
      </c>
      <c r="L13" s="67"/>
      <c r="M13" s="63" t="s">
        <v>19</v>
      </c>
      <c r="N13" s="130">
        <f>N11+N12</f>
        <v>0</v>
      </c>
      <c r="O13" s="130">
        <f>O11+O12</f>
        <v>0</v>
      </c>
      <c r="P13" s="130">
        <f>P11+P12</f>
        <v>0</v>
      </c>
    </row>
    <row r="14" spans="1:22" x14ac:dyDescent="0.2">
      <c r="A14" s="136" t="s">
        <v>164</v>
      </c>
      <c r="B14" s="248">
        <v>2011</v>
      </c>
      <c r="C14" s="157">
        <v>125.6</v>
      </c>
      <c r="D14" s="941"/>
    </row>
    <row r="15" spans="1:22" x14ac:dyDescent="0.2">
      <c r="A15" t="s">
        <v>165</v>
      </c>
      <c r="B15" s="247">
        <v>2012</v>
      </c>
      <c r="C15" s="157">
        <v>126.5</v>
      </c>
      <c r="D15" s="941"/>
      <c r="I15" s="159"/>
      <c r="J15" s="160"/>
      <c r="K15" s="160"/>
      <c r="L15" s="34" t="s">
        <v>574</v>
      </c>
      <c r="M15" s="160"/>
      <c r="N15" s="105"/>
      <c r="O15" s="105"/>
      <c r="P15" s="161"/>
    </row>
    <row r="16" spans="1:22" x14ac:dyDescent="0.2">
      <c r="A16" s="136" t="s">
        <v>166</v>
      </c>
      <c r="B16" s="248">
        <v>2013</v>
      </c>
      <c r="C16" s="157">
        <v>125.7</v>
      </c>
      <c r="D16" s="941"/>
      <c r="I16" s="162"/>
      <c r="J16" s="163"/>
      <c r="K16" s="163"/>
      <c r="L16" s="275" t="s">
        <v>575</v>
      </c>
      <c r="M16" s="163"/>
      <c r="N16" s="418"/>
      <c r="O16" s="418"/>
      <c r="P16" s="419"/>
    </row>
    <row r="17" spans="1:16" x14ac:dyDescent="0.2">
      <c r="A17" s="136" t="s">
        <v>167</v>
      </c>
      <c r="B17" s="248">
        <v>2014</v>
      </c>
      <c r="C17" s="157">
        <v>126.3</v>
      </c>
      <c r="D17" s="941"/>
      <c r="I17" s="162"/>
      <c r="J17" s="163"/>
      <c r="K17" s="163"/>
      <c r="L17" s="275" t="s">
        <v>634</v>
      </c>
      <c r="M17" s="163"/>
      <c r="N17" s="418"/>
      <c r="O17" s="418"/>
      <c r="P17" s="419"/>
    </row>
    <row r="18" spans="1:16" x14ac:dyDescent="0.2">
      <c r="A18" t="s">
        <v>168</v>
      </c>
      <c r="B18" s="248">
        <v>2015</v>
      </c>
      <c r="C18" s="157">
        <v>124.8</v>
      </c>
      <c r="D18" s="941"/>
      <c r="I18" s="162"/>
      <c r="J18" s="163"/>
      <c r="K18" s="163"/>
      <c r="L18" s="275" t="s">
        <v>635</v>
      </c>
      <c r="M18" s="163"/>
      <c r="N18" s="418"/>
      <c r="O18" s="418"/>
      <c r="P18" s="419"/>
    </row>
    <row r="19" spans="1:16" x14ac:dyDescent="0.2">
      <c r="A19" s="136" t="s">
        <v>169</v>
      </c>
      <c r="B19" s="247">
        <v>2016</v>
      </c>
      <c r="C19" s="157">
        <v>122.6</v>
      </c>
      <c r="D19" s="941"/>
      <c r="I19" s="162"/>
      <c r="J19" s="163"/>
      <c r="K19" s="163"/>
      <c r="L19" s="275" t="s">
        <v>665</v>
      </c>
      <c r="M19" s="163"/>
      <c r="N19" s="418">
        <f>SUM(N16:N18)</f>
        <v>0</v>
      </c>
      <c r="O19" s="418">
        <f>SUM(O16:O18)</f>
        <v>0</v>
      </c>
      <c r="P19" s="419">
        <f>SUM(P16:P18)</f>
        <v>0</v>
      </c>
    </row>
    <row r="20" spans="1:16" x14ac:dyDescent="0.2">
      <c r="A20" s="136" t="s">
        <v>170</v>
      </c>
      <c r="B20" s="248">
        <v>2017</v>
      </c>
      <c r="C20" s="157">
        <v>122.6</v>
      </c>
      <c r="D20" s="941"/>
      <c r="I20" s="162"/>
      <c r="J20" s="163"/>
      <c r="K20" s="163"/>
      <c r="L20" s="5" t="s">
        <v>75</v>
      </c>
      <c r="M20" s="163"/>
      <c r="N20" s="25"/>
      <c r="O20" s="25"/>
      <c r="P20" s="93"/>
    </row>
    <row r="21" spans="1:16" x14ac:dyDescent="0.2">
      <c r="A21" t="s">
        <v>171</v>
      </c>
      <c r="B21" s="248">
        <v>2018</v>
      </c>
      <c r="C21" s="157">
        <v>122.9</v>
      </c>
      <c r="D21" s="941"/>
      <c r="I21" s="162"/>
      <c r="J21" s="163"/>
      <c r="K21" s="163"/>
      <c r="L21" s="5" t="s">
        <v>77</v>
      </c>
      <c r="M21" s="163"/>
      <c r="N21" s="25"/>
      <c r="O21" s="25"/>
      <c r="P21" s="93"/>
    </row>
    <row r="22" spans="1:16" x14ac:dyDescent="0.2">
      <c r="A22" s="136" t="s">
        <v>172</v>
      </c>
      <c r="B22" s="248">
        <v>2019</v>
      </c>
      <c r="C22" s="157">
        <v>124</v>
      </c>
      <c r="D22" s="941"/>
      <c r="I22" s="162"/>
      <c r="J22" s="163"/>
      <c r="K22" s="163"/>
      <c r="L22" s="148" t="s">
        <v>138</v>
      </c>
      <c r="M22" s="163"/>
      <c r="N22" s="25"/>
      <c r="O22" s="25"/>
      <c r="P22" s="93"/>
    </row>
    <row r="23" spans="1:16" x14ac:dyDescent="0.2">
      <c r="A23" s="136" t="s">
        <v>173</v>
      </c>
      <c r="B23" s="247">
        <v>2020</v>
      </c>
      <c r="C23" s="157">
        <v>123.9</v>
      </c>
      <c r="D23" s="941"/>
      <c r="I23" s="162"/>
      <c r="J23" s="163"/>
      <c r="K23" s="163"/>
      <c r="L23" s="5" t="s">
        <v>76</v>
      </c>
      <c r="M23" s="163"/>
      <c r="N23" s="25"/>
      <c r="O23" s="25"/>
      <c r="P23" s="93"/>
    </row>
    <row r="24" spans="1:16" x14ac:dyDescent="0.2">
      <c r="A24" s="136" t="s">
        <v>815</v>
      </c>
      <c r="B24" s="247">
        <v>2021</v>
      </c>
      <c r="C24" s="157">
        <v>125.3</v>
      </c>
      <c r="D24" s="941"/>
      <c r="I24" s="162"/>
      <c r="J24" s="163"/>
      <c r="K24" s="163"/>
      <c r="L24" s="5"/>
      <c r="M24" s="163"/>
      <c r="N24" s="13"/>
      <c r="O24" s="13"/>
      <c r="P24" s="164"/>
    </row>
    <row r="25" spans="1:16" x14ac:dyDescent="0.2">
      <c r="A25" s="136" t="s">
        <v>816</v>
      </c>
      <c r="B25" s="247">
        <v>2022</v>
      </c>
      <c r="C25" s="157">
        <v>133.69999999999999</v>
      </c>
      <c r="D25" s="941"/>
      <c r="I25" s="162"/>
      <c r="J25" s="163"/>
      <c r="K25" s="163"/>
      <c r="L25" s="5" t="s">
        <v>44</v>
      </c>
      <c r="M25" s="163"/>
      <c r="N25" s="25"/>
      <c r="O25" s="25"/>
      <c r="P25" s="93"/>
    </row>
    <row r="26" spans="1:16" x14ac:dyDescent="0.2">
      <c r="I26" s="162"/>
      <c r="J26" s="163"/>
      <c r="K26" s="163"/>
      <c r="L26" s="5" t="s">
        <v>45</v>
      </c>
      <c r="M26" s="163"/>
      <c r="N26" s="76"/>
      <c r="O26" s="76"/>
      <c r="P26" s="93"/>
    </row>
    <row r="27" spans="1:16" hidden="1" x14ac:dyDescent="0.2">
      <c r="A27" s="229" t="s">
        <v>221</v>
      </c>
      <c r="I27" s="162"/>
      <c r="J27" s="163"/>
      <c r="K27" s="163"/>
      <c r="L27" s="5" t="s">
        <v>46</v>
      </c>
      <c r="M27" s="163"/>
      <c r="N27" s="76"/>
      <c r="O27" s="76"/>
      <c r="P27" s="93"/>
    </row>
    <row r="28" spans="1:16" hidden="1" x14ac:dyDescent="0.2">
      <c r="A28" s="229" t="s">
        <v>222</v>
      </c>
      <c r="B28">
        <f>B8_04_3KOIN</f>
        <v>0</v>
      </c>
      <c r="C28">
        <f>VALUE(LEFT(B28,4))</f>
        <v>0</v>
      </c>
      <c r="D28" t="e">
        <f>VLOOKUP(C28,B3:C25,2)</f>
        <v>#N/A</v>
      </c>
      <c r="I28" s="162"/>
      <c r="J28" s="163"/>
      <c r="K28" s="163"/>
      <c r="L28" s="5" t="s">
        <v>47</v>
      </c>
      <c r="M28" s="163"/>
      <c r="N28" s="76"/>
      <c r="O28" s="76"/>
      <c r="P28" s="93"/>
    </row>
    <row r="29" spans="1:16" hidden="1" x14ac:dyDescent="0.2">
      <c r="A29" s="229" t="s">
        <v>223</v>
      </c>
      <c r="B29">
        <f>B8_04_4KOIN</f>
        <v>0</v>
      </c>
      <c r="C29">
        <f>VALUE(LEFT(B29,4))</f>
        <v>0</v>
      </c>
      <c r="D29" t="e">
        <f>VLOOKUP(C29,B3:C25,2)</f>
        <v>#N/A</v>
      </c>
      <c r="I29" s="162"/>
      <c r="J29" s="163"/>
      <c r="K29" s="163"/>
      <c r="L29" s="5"/>
      <c r="M29" s="163"/>
      <c r="N29" s="77"/>
      <c r="O29" s="77"/>
      <c r="P29" s="164"/>
    </row>
    <row r="30" spans="1:16" hidden="1" x14ac:dyDescent="0.2">
      <c r="A30" s="229" t="s">
        <v>224</v>
      </c>
      <c r="B30">
        <f>B8_04_5KOIN</f>
        <v>0</v>
      </c>
      <c r="C30">
        <f>VALUE(LEFT(B30,4))</f>
        <v>0</v>
      </c>
      <c r="D30" t="e">
        <f>VLOOKUP(C30,B3:C25,2)</f>
        <v>#N/A</v>
      </c>
      <c r="I30" s="162"/>
      <c r="J30" s="163"/>
      <c r="K30" s="163"/>
      <c r="L30" s="5" t="s">
        <v>48</v>
      </c>
      <c r="M30" s="163"/>
      <c r="N30" s="76"/>
      <c r="O30" s="76"/>
      <c r="P30" s="93"/>
    </row>
    <row r="31" spans="1:16" hidden="1" x14ac:dyDescent="0.2">
      <c r="A31" s="229" t="s">
        <v>225</v>
      </c>
      <c r="B31">
        <f>B8_04_6KOIN</f>
        <v>0</v>
      </c>
      <c r="C31">
        <f>VALUE(LEFT(B31,4))</f>
        <v>0</v>
      </c>
      <c r="D31" t="e">
        <f>VLOOKUP(C31,B3:C25,2)</f>
        <v>#N/A</v>
      </c>
      <c r="I31" s="162"/>
      <c r="J31" s="163"/>
      <c r="K31" s="163"/>
      <c r="L31" s="5" t="s">
        <v>49</v>
      </c>
      <c r="M31" s="163"/>
      <c r="N31" s="76"/>
      <c r="O31" s="76"/>
      <c r="P31" s="93"/>
    </row>
    <row r="32" spans="1:16" hidden="1" x14ac:dyDescent="0.2">
      <c r="A32" s="229" t="s">
        <v>226</v>
      </c>
      <c r="B32">
        <f>B8_04_7KOIN</f>
        <v>0</v>
      </c>
      <c r="C32">
        <f>VALUE(LEFT(B32,4))</f>
        <v>0</v>
      </c>
      <c r="D32" t="e">
        <f>VLOOKUP(C32,B3:C25,2)</f>
        <v>#N/A</v>
      </c>
      <c r="I32" s="162"/>
      <c r="J32" s="163"/>
      <c r="K32" s="163"/>
      <c r="L32" s="5" t="s">
        <v>50</v>
      </c>
      <c r="M32" s="163"/>
      <c r="N32" s="76"/>
      <c r="O32" s="76"/>
      <c r="P32" s="93"/>
    </row>
    <row r="33" spans="9:18" hidden="1" x14ac:dyDescent="0.2">
      <c r="I33" s="165"/>
      <c r="J33" s="166"/>
      <c r="K33" s="166"/>
      <c r="L33" s="35" t="s">
        <v>51</v>
      </c>
      <c r="M33" s="166"/>
      <c r="N33" s="167"/>
      <c r="O33" s="167"/>
      <c r="P33" s="168"/>
    </row>
    <row r="34" spans="9:18" x14ac:dyDescent="0.2">
      <c r="I34" s="442" t="s">
        <v>668</v>
      </c>
      <c r="J34" s="160"/>
      <c r="K34" s="160"/>
      <c r="L34" s="438"/>
      <c r="M34" s="160"/>
      <c r="N34" s="13"/>
      <c r="O34" s="13"/>
      <c r="P34" s="164"/>
    </row>
    <row r="35" spans="9:18" x14ac:dyDescent="0.2">
      <c r="I35" s="162"/>
      <c r="J35" s="163"/>
      <c r="K35" s="163"/>
      <c r="M35" s="447" t="s">
        <v>645</v>
      </c>
      <c r="N35" s="435"/>
      <c r="O35" s="435"/>
      <c r="P35" s="439"/>
    </row>
    <row r="36" spans="9:18" x14ac:dyDescent="0.2">
      <c r="I36" s="162"/>
      <c r="J36" s="163"/>
      <c r="K36" s="163"/>
      <c r="M36" s="447" t="s">
        <v>646</v>
      </c>
      <c r="N36" s="435"/>
      <c r="O36" s="435"/>
      <c r="P36" s="439"/>
    </row>
    <row r="37" spans="9:18" x14ac:dyDescent="0.2">
      <c r="I37" s="162"/>
      <c r="J37" s="163"/>
      <c r="K37" s="163"/>
      <c r="M37" s="447" t="s">
        <v>647</v>
      </c>
      <c r="N37" s="435"/>
      <c r="O37" s="435"/>
      <c r="P37" s="439"/>
    </row>
    <row r="38" spans="9:18" x14ac:dyDescent="0.2">
      <c r="I38" s="443" t="s">
        <v>669</v>
      </c>
      <c r="J38" s="163"/>
      <c r="K38" s="163"/>
      <c r="L38" s="39"/>
      <c r="M38" s="163"/>
      <c r="N38" s="444"/>
      <c r="O38" s="444"/>
      <c r="P38" s="445"/>
    </row>
    <row r="39" spans="9:18" x14ac:dyDescent="0.2">
      <c r="I39" s="162"/>
      <c r="J39" s="163"/>
      <c r="K39" s="163"/>
      <c r="M39" s="447" t="s">
        <v>648</v>
      </c>
      <c r="N39" s="435"/>
      <c r="O39" s="435"/>
      <c r="P39" s="439"/>
    </row>
    <row r="40" spans="9:18" x14ac:dyDescent="0.2">
      <c r="I40" s="443" t="s">
        <v>682</v>
      </c>
      <c r="J40" s="163"/>
      <c r="K40" s="163"/>
      <c r="N40" s="449" t="s">
        <v>288</v>
      </c>
      <c r="O40" s="449" t="s">
        <v>683</v>
      </c>
      <c r="P40" s="449" t="s">
        <v>289</v>
      </c>
      <c r="Q40" s="449" t="s">
        <v>684</v>
      </c>
      <c r="R40" s="449" t="s">
        <v>685</v>
      </c>
    </row>
    <row r="41" spans="9:18" x14ac:dyDescent="0.2">
      <c r="I41" s="162"/>
      <c r="J41" s="163"/>
      <c r="K41" s="163"/>
      <c r="N41" s="450" t="b">
        <f>IF(Kostenentwicklung!I92&gt;0,Kostenentwicklung!I92/Benchmarkvergleich!F29)</f>
        <v>0</v>
      </c>
      <c r="O41" s="450" t="b">
        <f>IF(Kostenentwicklung!K92&gt;0,Kostenentwicklung!K92/Benchmarkvergleich!F29)</f>
        <v>0</v>
      </c>
      <c r="P41" s="450" t="b">
        <f>IF(Kostenentwicklung!M92&gt;0,Kostenentwicklung!M92/Benchmarkvergleich!F29)</f>
        <v>0</v>
      </c>
      <c r="Q41" s="450" t="b">
        <f>IF(Kostenentwicklung!O92&gt;0,Kostenentwicklung!O92/Benchmarkvergleich!F29)</f>
        <v>0</v>
      </c>
      <c r="R41" s="450" t="b">
        <f>IF(Kostenentwicklung!Q92&gt;0,Kostenentwicklung!Q92/Benchmarkvergleich!F29)</f>
        <v>0</v>
      </c>
    </row>
    <row r="42" spans="9:18" x14ac:dyDescent="0.2">
      <c r="I42" s="162"/>
      <c r="J42" s="163"/>
      <c r="K42" s="163"/>
      <c r="L42" s="39"/>
      <c r="M42" s="446" t="s">
        <v>670</v>
      </c>
      <c r="N42" s="448"/>
      <c r="O42" s="448"/>
      <c r="P42" s="439"/>
    </row>
    <row r="43" spans="9:18" x14ac:dyDescent="0.2">
      <c r="I43" s="162"/>
      <c r="J43" s="163"/>
      <c r="K43" s="163"/>
      <c r="L43" s="39"/>
      <c r="M43" s="446" t="s">
        <v>650</v>
      </c>
      <c r="N43" s="435"/>
      <c r="O43" s="435"/>
      <c r="P43" s="439"/>
    </row>
    <row r="44" spans="9:18" x14ac:dyDescent="0.2">
      <c r="I44" s="165"/>
      <c r="J44" s="166"/>
      <c r="K44" s="166"/>
      <c r="L44" s="440"/>
      <c r="M44" s="451" t="s">
        <v>651</v>
      </c>
      <c r="N44" s="167"/>
      <c r="O44" s="167"/>
      <c r="P44" s="441"/>
    </row>
    <row r="45" spans="9:18" x14ac:dyDescent="0.2">
      <c r="I45" s="436"/>
      <c r="J45" s="52"/>
      <c r="K45" s="11" t="s">
        <v>219</v>
      </c>
      <c r="L45" s="437"/>
      <c r="M45" s="11"/>
      <c r="N45" s="100"/>
      <c r="O45" s="16"/>
      <c r="P45" s="251"/>
    </row>
    <row r="46" spans="9:18" x14ac:dyDescent="0.2">
      <c r="I46" s="69"/>
      <c r="J46" s="50"/>
      <c r="K46" s="254"/>
      <c r="L46" s="255"/>
      <c r="M46" s="256"/>
      <c r="N46" s="6"/>
      <c r="O46" s="4"/>
      <c r="P46" s="252"/>
    </row>
    <row r="47" spans="9:18" x14ac:dyDescent="0.2">
      <c r="I47" s="57"/>
      <c r="J47" s="49"/>
      <c r="K47" s="254"/>
      <c r="L47" s="255"/>
      <c r="M47" s="256"/>
      <c r="N47" s="6"/>
      <c r="O47" s="4"/>
      <c r="P47" s="252"/>
    </row>
    <row r="48" spans="9:18" x14ac:dyDescent="0.2">
      <c r="I48" s="131"/>
      <c r="J48" s="132"/>
      <c r="K48" s="79" t="s">
        <v>54</v>
      </c>
      <c r="L48" s="80"/>
      <c r="M48" s="134">
        <f>IF(Eingabe!M44&gt;0,Eingabe!M44,IF(Eingabe!L44&gt;0,Eingabe!L44,IF(Eingabe!K44&gt;0,Eingabe!K44,IF(Eingabe!J44&gt;0,Eingabe!J44,IF(Eingabe!H44&gt;0,Eingabe!H44,0)))))</f>
        <v>0</v>
      </c>
      <c r="N48" s="78"/>
      <c r="O48" s="15"/>
      <c r="P48" s="253"/>
    </row>
    <row r="49" spans="1:16" x14ac:dyDescent="0.2">
      <c r="I49" s="261" t="s">
        <v>220</v>
      </c>
      <c r="J49" s="261"/>
      <c r="K49" s="262"/>
      <c r="L49" s="263"/>
      <c r="M49" s="264"/>
      <c r="N49" s="263"/>
      <c r="O49" s="265"/>
      <c r="P49" s="266"/>
    </row>
    <row r="50" spans="1:16" x14ac:dyDescent="0.2">
      <c r="I50" s="261"/>
      <c r="J50" s="261"/>
      <c r="K50" s="262"/>
      <c r="L50" s="257"/>
      <c r="M50" s="258"/>
      <c r="N50" s="52"/>
      <c r="O50" s="9"/>
      <c r="P50" s="259"/>
    </row>
    <row r="51" spans="1:16" x14ac:dyDescent="0.2">
      <c r="I51" s="96"/>
      <c r="J51" s="96"/>
      <c r="K51" s="52"/>
      <c r="L51" s="52"/>
      <c r="M51" s="52"/>
      <c r="N51" s="52"/>
      <c r="O51" s="9"/>
      <c r="P51" s="260"/>
    </row>
    <row r="52" spans="1:16" x14ac:dyDescent="0.2">
      <c r="A52" t="s">
        <v>290</v>
      </c>
    </row>
    <row r="53" spans="1:16" x14ac:dyDescent="0.2">
      <c r="A53" t="s">
        <v>291</v>
      </c>
      <c r="I53" s="229" t="s">
        <v>214</v>
      </c>
    </row>
    <row r="54" spans="1:16" x14ac:dyDescent="0.2">
      <c r="A54" t="s">
        <v>292</v>
      </c>
      <c r="I54" s="231">
        <f>IF(B8_04_7BOPL&gt;0,B8_04_7BOPL,IF(B8_04_6BOPL&gt;0,B8_04_6BOPL,IF(B8_04_5BOPL&gt;0,B8_04_5BOPL,IF(B8_04_4BOPL&gt;0,B8_04_4BOPL,IF(B8_04_2BOPL&gt;0,B8_04_2BOPL,0)))))</f>
        <v>0</v>
      </c>
      <c r="J54" s="231"/>
      <c r="K54" s="231"/>
      <c r="L54" s="231"/>
    </row>
    <row r="55" spans="1:16" x14ac:dyDescent="0.2">
      <c r="A55" t="s">
        <v>293</v>
      </c>
      <c r="I55" s="229" t="s">
        <v>215</v>
      </c>
    </row>
    <row r="56" spans="1:16" x14ac:dyDescent="0.2">
      <c r="A56" t="s">
        <v>294</v>
      </c>
      <c r="I56" s="231">
        <f>IF(Eingabe!M44&gt;0,Eingabe!M44,IF(Eingabe!L44&gt;0,Eingabe!L44,IF(Eingabe!K44&gt;0,Eingabe!K44,IF(Eingabe!J44&gt;0,Eingabe!J44,IF(Eingabe!H44&gt;0,Eingabe!H44,0)))))</f>
        <v>0</v>
      </c>
    </row>
    <row r="57" spans="1:16" x14ac:dyDescent="0.2">
      <c r="A57" t="s">
        <v>295</v>
      </c>
      <c r="I57" s="229" t="s">
        <v>216</v>
      </c>
    </row>
    <row r="58" spans="1:16" x14ac:dyDescent="0.2">
      <c r="A58" t="s">
        <v>296</v>
      </c>
      <c r="I58" s="231">
        <f>IF(Eingabe!M48&gt;0,Eingabe!M48,IF(Eingabe!L48&gt;0,Eingabe!L48,IF(Eingabe!K48&gt;0,Eingabe!K48,IF(Eingabe!J48&gt;0,Eingabe!J48,IF(Eingabe!H48&gt;0,Eingabe!H48,0)))))</f>
        <v>0</v>
      </c>
      <c r="J58" s="231"/>
      <c r="K58" s="231"/>
      <c r="L58" s="231"/>
    </row>
    <row r="59" spans="1:16" x14ac:dyDescent="0.2">
      <c r="I59" s="229" t="s">
        <v>217</v>
      </c>
    </row>
    <row r="60" spans="1:16" x14ac:dyDescent="0.2">
      <c r="I60" s="231">
        <f>IF(B8_04_7FAUT&gt;0,B8_04_7FAUT,IF(B8_04_6FAUT&gt;0,B8_04_6FAUT,IF(B8_04_5FAUT&gt;0,B8_04_5FAUT,IF(B8_04_4FAUT&gt;0,B8_04_4FAUT,IF(B8_04_2FAUT&gt;0,B8_04_2FAUT,0)))))</f>
        <v>0</v>
      </c>
      <c r="J60" s="231"/>
      <c r="K60" s="231"/>
      <c r="L60" s="231"/>
    </row>
    <row r="61" spans="1:16" x14ac:dyDescent="0.2">
      <c r="A61" t="s">
        <v>297</v>
      </c>
      <c r="I61" s="229" t="s">
        <v>218</v>
      </c>
    </row>
    <row r="62" spans="1:16" x14ac:dyDescent="0.2">
      <c r="A62" t="s">
        <v>298</v>
      </c>
      <c r="I62" s="231">
        <f>IF(B8_04_7AUOB&gt;0,B8_04_7AUOB,IF(B8_04_6AUOB&gt;0,B8_04_6AUOB,IF(B8_04_5AUOB&gt;0,B8_04_5AUOB,IF(B8_04_4AUOB&gt;0,B8_04_4AUOB,IF(B8_04_2AUOB&gt;0,B8_04_2AUOB,0)))))</f>
        <v>0</v>
      </c>
      <c r="J62" s="231"/>
      <c r="K62" s="231"/>
      <c r="L62" s="231"/>
    </row>
    <row r="63" spans="1:16" x14ac:dyDescent="0.2">
      <c r="A63" t="s">
        <v>299</v>
      </c>
    </row>
    <row r="64" spans="1:16" x14ac:dyDescent="0.2">
      <c r="A64" t="s">
        <v>300</v>
      </c>
    </row>
    <row r="65" spans="1:1" x14ac:dyDescent="0.2">
      <c r="A65" t="s">
        <v>301</v>
      </c>
    </row>
    <row r="66" spans="1:1" x14ac:dyDescent="0.2">
      <c r="A66" t="s">
        <v>302</v>
      </c>
    </row>
    <row r="67" spans="1:1" x14ac:dyDescent="0.2">
      <c r="A67" t="s">
        <v>303</v>
      </c>
    </row>
    <row r="68" spans="1:1" x14ac:dyDescent="0.2">
      <c r="A68" t="s">
        <v>304</v>
      </c>
    </row>
    <row r="69" spans="1:1" x14ac:dyDescent="0.2">
      <c r="A69" t="s">
        <v>305</v>
      </c>
    </row>
    <row r="70" spans="1:1" x14ac:dyDescent="0.2">
      <c r="A70" t="s">
        <v>306</v>
      </c>
    </row>
    <row r="71" spans="1:1" x14ac:dyDescent="0.2">
      <c r="A71" t="s">
        <v>307</v>
      </c>
    </row>
    <row r="72" spans="1:1" x14ac:dyDescent="0.2">
      <c r="A72" t="s">
        <v>308</v>
      </c>
    </row>
    <row r="73" spans="1:1" x14ac:dyDescent="0.2">
      <c r="A73" t="s">
        <v>309</v>
      </c>
    </row>
    <row r="74" spans="1:1" x14ac:dyDescent="0.2">
      <c r="A74" t="s">
        <v>296</v>
      </c>
    </row>
    <row r="76" spans="1:1" x14ac:dyDescent="0.2">
      <c r="A76" t="s">
        <v>310</v>
      </c>
    </row>
    <row r="77" spans="1:1" x14ac:dyDescent="0.2">
      <c r="A77" t="s">
        <v>311</v>
      </c>
    </row>
    <row r="78" spans="1:1" x14ac:dyDescent="0.2">
      <c r="A78" t="s">
        <v>312</v>
      </c>
    </row>
    <row r="79" spans="1:1" x14ac:dyDescent="0.2">
      <c r="A79" t="s">
        <v>313</v>
      </c>
    </row>
    <row r="80" spans="1:1" x14ac:dyDescent="0.2">
      <c r="A80" t="s">
        <v>314</v>
      </c>
    </row>
    <row r="81" spans="1:1" x14ac:dyDescent="0.2">
      <c r="A81" t="s">
        <v>315</v>
      </c>
    </row>
    <row r="82" spans="1:1" x14ac:dyDescent="0.2">
      <c r="A82" t="s">
        <v>296</v>
      </c>
    </row>
    <row r="84" spans="1:1" x14ac:dyDescent="0.2">
      <c r="A84" t="s">
        <v>316</v>
      </c>
    </row>
    <row r="85" spans="1:1" x14ac:dyDescent="0.2">
      <c r="A85" t="s">
        <v>317</v>
      </c>
    </row>
    <row r="86" spans="1:1" x14ac:dyDescent="0.2">
      <c r="A86" t="s">
        <v>318</v>
      </c>
    </row>
    <row r="87" spans="1:1" x14ac:dyDescent="0.2">
      <c r="A87" t="s">
        <v>319</v>
      </c>
    </row>
    <row r="88" spans="1:1" x14ac:dyDescent="0.2">
      <c r="A88" t="s">
        <v>320</v>
      </c>
    </row>
    <row r="89" spans="1:1" x14ac:dyDescent="0.2">
      <c r="A89" t="s">
        <v>321</v>
      </c>
    </row>
    <row r="90" spans="1:1" x14ac:dyDescent="0.2">
      <c r="A90" t="s">
        <v>296</v>
      </c>
    </row>
    <row r="92" spans="1:1" x14ac:dyDescent="0.2">
      <c r="A92" t="s">
        <v>322</v>
      </c>
    </row>
    <row r="93" spans="1:1" x14ac:dyDescent="0.2">
      <c r="A93" t="s">
        <v>291</v>
      </c>
    </row>
    <row r="94" spans="1:1" x14ac:dyDescent="0.2">
      <c r="A94" t="s">
        <v>292</v>
      </c>
    </row>
    <row r="95" spans="1:1" x14ac:dyDescent="0.2">
      <c r="A95" t="s">
        <v>323</v>
      </c>
    </row>
    <row r="96" spans="1:1" x14ac:dyDescent="0.2">
      <c r="A96" t="s">
        <v>296</v>
      </c>
    </row>
    <row r="98" spans="1:18" x14ac:dyDescent="0.2">
      <c r="A98" t="s">
        <v>324</v>
      </c>
    </row>
    <row r="99" spans="1:18" x14ac:dyDescent="0.2">
      <c r="A99" t="s">
        <v>312</v>
      </c>
    </row>
    <row r="100" spans="1:18" x14ac:dyDescent="0.2">
      <c r="A100" t="s">
        <v>313</v>
      </c>
    </row>
    <row r="101" spans="1:18" x14ac:dyDescent="0.2">
      <c r="A101" t="s">
        <v>325</v>
      </c>
    </row>
    <row r="102" spans="1:18" x14ac:dyDescent="0.2">
      <c r="A102" t="s">
        <v>326</v>
      </c>
    </row>
    <row r="103" spans="1:18" x14ac:dyDescent="0.2">
      <c r="A103" t="s">
        <v>296</v>
      </c>
    </row>
    <row r="109" spans="1:18" s="2" customFormat="1" x14ac:dyDescent="0.2">
      <c r="B109" s="73"/>
      <c r="C109" s="52"/>
      <c r="D109" s="11" t="s">
        <v>53</v>
      </c>
      <c r="E109" s="42"/>
      <c r="F109" s="45"/>
      <c r="G109" s="6"/>
      <c r="H109" s="4"/>
      <c r="I109"/>
      <c r="J109"/>
      <c r="K109"/>
      <c r="L109"/>
      <c r="M109"/>
      <c r="N109"/>
      <c r="O109"/>
      <c r="P109"/>
      <c r="Q109" s="30" t="s">
        <v>60</v>
      </c>
      <c r="R109" s="320"/>
    </row>
    <row r="110" spans="1:18" s="2" customFormat="1" x14ac:dyDescent="0.2">
      <c r="B110" s="69"/>
      <c r="C110" s="50"/>
      <c r="D110" s="36" t="s">
        <v>89</v>
      </c>
      <c r="E110" s="45"/>
      <c r="F110" s="45"/>
      <c r="G110" s="6"/>
      <c r="H110" s="4"/>
      <c r="I110"/>
      <c r="J110"/>
      <c r="K110"/>
      <c r="L110"/>
      <c r="M110"/>
      <c r="N110"/>
      <c r="O110"/>
      <c r="P110"/>
      <c r="Q110" s="85" t="str">
        <f>IF(Q82=0," ",Q80/Q82)</f>
        <v xml:space="preserve"> </v>
      </c>
      <c r="R110" s="319" t="str">
        <f>IF(Q81=0," ",Q110/O113)</f>
        <v xml:space="preserve"> </v>
      </c>
    </row>
    <row r="111" spans="1:18" s="2" customFormat="1" x14ac:dyDescent="0.2">
      <c r="B111" s="57"/>
      <c r="C111" s="49"/>
      <c r="D111" s="36" t="s">
        <v>90</v>
      </c>
      <c r="E111" s="45"/>
      <c r="F111" s="45"/>
      <c r="G111" s="6"/>
      <c r="H111" s="4"/>
      <c r="I111"/>
      <c r="J111"/>
      <c r="K111"/>
      <c r="L111"/>
      <c r="M111"/>
      <c r="N111"/>
      <c r="O111"/>
      <c r="P111"/>
      <c r="Q111" s="85" t="str">
        <f>IF(Q81=0," ",Q80/Q81)</f>
        <v xml:space="preserve"> </v>
      </c>
      <c r="R111" s="319" t="str">
        <f>IF(Q82=0," ",Q111/O114)</f>
        <v xml:space="preserve"> </v>
      </c>
    </row>
    <row r="112" spans="1:18" s="2" customFormat="1" ht="12" x14ac:dyDescent="0.2">
      <c r="B112" s="57"/>
      <c r="C112" s="49"/>
      <c r="D112" s="36" t="s">
        <v>391</v>
      </c>
      <c r="E112" s="45"/>
      <c r="F112" s="45"/>
      <c r="G112" s="6"/>
      <c r="H112" s="4"/>
      <c r="I112" s="30" t="s">
        <v>60</v>
      </c>
      <c r="J112" s="75"/>
      <c r="K112" s="30" t="s">
        <v>60</v>
      </c>
      <c r="L112" s="86"/>
      <c r="M112" s="30" t="s">
        <v>60</v>
      </c>
      <c r="N112" s="86"/>
      <c r="O112" s="30" t="s">
        <v>60</v>
      </c>
      <c r="P112" s="86"/>
      <c r="Q112" s="85" t="str">
        <f>IF(Q81=0," ",Eingabe!M15/Eingabe!M8)</f>
        <v xml:space="preserve"> </v>
      </c>
      <c r="R112" s="319" t="str">
        <f>IF(Q81=0," ",Q112/O115)</f>
        <v xml:space="preserve"> </v>
      </c>
    </row>
    <row r="113" spans="2:18" s="2" customFormat="1" ht="12" x14ac:dyDescent="0.2">
      <c r="B113" s="57"/>
      <c r="C113" s="49"/>
      <c r="D113" s="36" t="s">
        <v>390</v>
      </c>
      <c r="E113" s="45"/>
      <c r="F113" s="45"/>
      <c r="G113" s="6"/>
      <c r="H113" s="4"/>
      <c r="I113" s="85" t="str">
        <f>IF(I85=0," ",I83/I85)</f>
        <v xml:space="preserve"> </v>
      </c>
      <c r="J113" s="75"/>
      <c r="K113" s="85" t="str">
        <f>IF(K85=0," ",K83/K85)</f>
        <v xml:space="preserve"> </v>
      </c>
      <c r="L113" s="83" t="str">
        <f>IF(K84=0," ",K113/I113)</f>
        <v xml:space="preserve"> </v>
      </c>
      <c r="M113" s="85" t="str">
        <f>IF(M85=0," ",M83/M85)</f>
        <v xml:space="preserve"> </v>
      </c>
      <c r="N113" s="83" t="str">
        <f>IF(M84=0," ",M113/K113)</f>
        <v xml:space="preserve"> </v>
      </c>
      <c r="O113" s="85" t="str">
        <f>IF(O85=0," ",O83/O85)</f>
        <v xml:space="preserve"> </v>
      </c>
      <c r="P113" s="83" t="str">
        <f>IF(O84=0," ",O113/M113)</f>
        <v xml:space="preserve"> </v>
      </c>
      <c r="Q113" s="85" t="str">
        <f>IF(Q81=0," ",(Eingabe!M28+Eingabe!M15+Eingabe!M19)/Eingabe!M8)</f>
        <v xml:space="preserve"> </v>
      </c>
      <c r="R113" s="319" t="str">
        <f>IF(Q81=0," ",Q113/O116)</f>
        <v xml:space="preserve"> </v>
      </c>
    </row>
    <row r="114" spans="2:18" s="2" customFormat="1" ht="12" x14ac:dyDescent="0.2">
      <c r="B114" s="131"/>
      <c r="C114" s="132"/>
      <c r="D114" s="79" t="s">
        <v>389</v>
      </c>
      <c r="E114" s="80"/>
      <c r="F114" s="80"/>
      <c r="G114" s="78"/>
      <c r="H114" s="15"/>
      <c r="I114" s="85" t="str">
        <f>IF(I84=0," ",I83/I84)</f>
        <v xml:space="preserve"> </v>
      </c>
      <c r="J114" s="75"/>
      <c r="K114" s="85" t="str">
        <f>IF(K84=0," ",K83/K84)</f>
        <v xml:space="preserve"> </v>
      </c>
      <c r="L114" s="83" t="str">
        <f>IF(K85=0," ",K114/I114)</f>
        <v xml:space="preserve"> </v>
      </c>
      <c r="M114" s="85" t="str">
        <f>IF(M84=0," ",M83/M84)</f>
        <v xml:space="preserve"> </v>
      </c>
      <c r="N114" s="83" t="str">
        <f>IF(M85=0," ",M114/K114)</f>
        <v xml:space="preserve"> </v>
      </c>
      <c r="O114" s="85" t="str">
        <f>IF(O84=0," ",O83/O84)</f>
        <v xml:space="preserve"> </v>
      </c>
      <c r="P114" s="83" t="str">
        <f>IF(O85=0," ",O114/M114)</f>
        <v xml:space="preserve"> </v>
      </c>
      <c r="Q114" s="133" t="str">
        <f>IF(Eingabe!M17=0," ",Eingabe!M18/Eingabe!M17)</f>
        <v xml:space="preserve"> </v>
      </c>
      <c r="R114" s="319" t="str">
        <f>IF(Eingabe!M17=0," ",Q114/O117)</f>
        <v xml:space="preserve"> </v>
      </c>
    </row>
    <row r="115" spans="2:18" s="2" customFormat="1" thickBot="1" x14ac:dyDescent="0.25">
      <c r="B115" s="58"/>
      <c r="C115" s="59"/>
      <c r="D115" s="60"/>
      <c r="E115" s="61"/>
      <c r="F115" s="61"/>
      <c r="G115" s="62"/>
      <c r="H115" s="63"/>
      <c r="I115" s="45"/>
      <c r="J115" s="75"/>
      <c r="K115" s="85" t="str">
        <f>IF(K84=0," ",Eingabe!J15/Eingabe!J8)</f>
        <v xml:space="preserve"> </v>
      </c>
      <c r="L115" s="86"/>
      <c r="M115" s="85" t="str">
        <f>IF(M84=0," ",Eingabe!K15/Eingabe!K8)</f>
        <v xml:space="preserve"> </v>
      </c>
      <c r="N115" s="83" t="str">
        <f>IF(M84=0," ",M115/K115)</f>
        <v xml:space="preserve"> </v>
      </c>
      <c r="O115" s="85" t="str">
        <f>IF(O84=0," ",Eingabe!L15/Eingabe!L8)</f>
        <v xml:space="preserve"> </v>
      </c>
      <c r="P115" s="83" t="str">
        <f>IF(O84=0," ",O115/M115)</f>
        <v xml:space="preserve"> </v>
      </c>
      <c r="Q115" s="74"/>
      <c r="R115" s="321"/>
    </row>
    <row r="116" spans="2:18" x14ac:dyDescent="0.2">
      <c r="I116" s="45"/>
      <c r="J116" s="84"/>
      <c r="K116" s="85" t="str">
        <f>IF(K84=0," ",(Eingabe!J28+Eingabe!J15+Eingabe!J19)/Eingabe!J8)</f>
        <v xml:space="preserve"> </v>
      </c>
      <c r="L116" s="86"/>
      <c r="M116" s="85" t="str">
        <f>IF(M84=0," ",(Eingabe!K28+Eingabe!K15+Eingabe!K19)/Eingabe!K8)</f>
        <v xml:space="preserve"> </v>
      </c>
      <c r="N116" s="83" t="str">
        <f>IF(M84=0," ",M116/K116)</f>
        <v xml:space="preserve"> </v>
      </c>
      <c r="O116" s="85" t="str">
        <f>IF(O84=0," ",(Eingabe!L28+Eingabe!L15+Eingabe!L19)/Eingabe!L8)</f>
        <v xml:space="preserve"> </v>
      </c>
      <c r="P116" s="83" t="str">
        <f>IF(O84=0," ",O116/M116)</f>
        <v xml:space="preserve"> </v>
      </c>
    </row>
    <row r="117" spans="2:18" x14ac:dyDescent="0.2">
      <c r="I117" s="80"/>
      <c r="J117" s="84"/>
      <c r="K117" s="133" t="str">
        <f>IF(Eingabe!J17=0," ",Eingabe!J18/Eingabe!J17)</f>
        <v xml:space="preserve"> </v>
      </c>
      <c r="L117" s="86"/>
      <c r="M117" s="133" t="str">
        <f>IF(Eingabe!K17=0," ",Eingabe!K18/Eingabe!K17)</f>
        <v xml:space="preserve"> </v>
      </c>
      <c r="N117" s="83" t="str">
        <f>IF(Eingabe!K17=0," ",M117/K117)</f>
        <v xml:space="preserve"> </v>
      </c>
      <c r="O117" s="133" t="str">
        <f>IF(Eingabe!L17=0," ",Eingabe!L18/Eingabe!L17)</f>
        <v xml:space="preserve"> </v>
      </c>
      <c r="P117" s="83" t="str">
        <f>IF(Eingabe!L17=0," ",O117/M117)</f>
        <v xml:space="preserve"> </v>
      </c>
    </row>
    <row r="118" spans="2:18" ht="13.5" thickBot="1" x14ac:dyDescent="0.25">
      <c r="I118" s="74"/>
      <c r="J118" s="74"/>
      <c r="K118" s="74"/>
      <c r="L118" s="87"/>
      <c r="M118" s="74"/>
      <c r="N118" s="87"/>
      <c r="O118" s="74"/>
      <c r="P118" s="87"/>
    </row>
  </sheetData>
  <customSheetViews>
    <customSheetView guid="{1B6E5C62-D61A-47DD-A4A2-485ADD59D1CD}" state="hidden" topLeftCell="D1">
      <selection activeCell="P11" sqref="P11"/>
      <pageMargins left="0.7" right="0.7" top="0.78740157499999996" bottom="0.78740157499999996" header="0.3" footer="0.3"/>
      <pageSetup paperSize="9" orientation="portrait" r:id="rId1"/>
    </customSheetView>
    <customSheetView guid="{1E00AB2B-C042-4EFC-A145-7C4B4752408A}">
      <selection activeCell="D11" sqref="D11"/>
      <pageMargins left="0.7" right="0.7" top="0.78740157499999996" bottom="0.78740157499999996" header="0.3" footer="0.3"/>
      <pageSetup paperSize="9" orientation="portrait" r:id="rId2"/>
    </customSheetView>
  </customSheetViews>
  <mergeCells count="2">
    <mergeCell ref="A1:D1"/>
    <mergeCell ref="E1:I1"/>
  </mergeCells>
  <pageMargins left="0.7" right="0.7" top="0.78740157499999996" bottom="0.78740157499999996"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workbookViewId="0"/>
  </sheetViews>
  <sheetFormatPr baseColWidth="10" defaultRowHeight="12.75" x14ac:dyDescent="0.2"/>
  <sheetData/>
  <pageMargins left="0.7" right="0.7" top="0.78740157499999996" bottom="0.78740157499999996" header="0.3" footer="0.3"/>
  <pageSetup paperSize="9"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P131"/>
  <sheetViews>
    <sheetView zoomScale="70" zoomScaleNormal="70" workbookViewId="0">
      <selection activeCell="F53" sqref="F53"/>
    </sheetView>
  </sheetViews>
  <sheetFormatPr baseColWidth="10" defaultColWidth="11.5703125" defaultRowHeight="12.75" x14ac:dyDescent="0.2"/>
  <cols>
    <col min="1" max="1" width="74.7109375" style="378" bestFit="1" customWidth="1"/>
    <col min="2" max="2" width="11.5703125" style="378"/>
    <col min="3" max="3" width="67.140625" style="378" bestFit="1" customWidth="1"/>
    <col min="4" max="5" width="11.5703125" style="229"/>
    <col min="6" max="6" width="87.85546875" style="229" bestFit="1" customWidth="1"/>
    <col min="7" max="7" width="69.5703125" style="229" customWidth="1"/>
    <col min="8" max="16384" width="11.5703125" style="229"/>
  </cols>
  <sheetData>
    <row r="1" spans="1:16" ht="14.25" x14ac:dyDescent="0.2">
      <c r="A1" s="361" t="s">
        <v>631</v>
      </c>
      <c r="B1" s="361"/>
      <c r="C1" s="361"/>
      <c r="D1" s="345"/>
    </row>
    <row r="2" spans="1:16" ht="19.149999999999999" customHeight="1" x14ac:dyDescent="0.2">
      <c r="A2" s="362" t="s">
        <v>502</v>
      </c>
      <c r="B2" s="363"/>
      <c r="C2" s="364" t="s">
        <v>116</v>
      </c>
      <c r="D2" s="347"/>
    </row>
    <row r="3" spans="1:16" ht="19.149999999999999" customHeight="1" x14ac:dyDescent="0.2">
      <c r="A3" s="363"/>
      <c r="B3" s="363"/>
      <c r="C3" s="364" t="s">
        <v>498</v>
      </c>
      <c r="D3" s="347"/>
      <c r="O3" s="380"/>
    </row>
    <row r="4" spans="1:16" ht="19.149999999999999" customHeight="1" x14ac:dyDescent="0.2">
      <c r="A4" s="363"/>
      <c r="B4" s="363"/>
      <c r="C4" s="364" t="s">
        <v>503</v>
      </c>
      <c r="D4" s="347"/>
      <c r="O4" s="380"/>
    </row>
    <row r="5" spans="1:16" ht="19.149999999999999" customHeight="1" x14ac:dyDescent="0.2">
      <c r="A5" s="363"/>
      <c r="B5" s="363"/>
      <c r="C5" s="365" t="s">
        <v>499</v>
      </c>
      <c r="D5" s="348"/>
      <c r="O5" s="380"/>
    </row>
    <row r="6" spans="1:16" ht="19.149999999999999" customHeight="1" x14ac:dyDescent="0.2">
      <c r="A6" s="363"/>
      <c r="B6" s="363"/>
      <c r="C6" s="365" t="s">
        <v>504</v>
      </c>
      <c r="D6" s="348"/>
      <c r="H6" s="230">
        <f>IF(B8_04_1EING="Neubau",-1,IF(B8_04_1EING="Ersatz-Neubau",-1,IF(B8_04_1EING="",0,10)))</f>
        <v>0</v>
      </c>
      <c r="I6" s="230">
        <f>IF(B8_04_2EING="Neubau",-1,IF(B8_04_2EING="Ersatz-Neubau",-1,IF(B8_04_2EING="",0,10)))</f>
        <v>0</v>
      </c>
      <c r="J6" s="230">
        <f>IF(B8_04_3EING="Neubau",-1,IF(B8_04_3EING="Ersatz-Neubau",-1,IF(B8_04_3EING="",0,10)))</f>
        <v>0</v>
      </c>
      <c r="K6" s="230">
        <f>IF(B8_04_4EING="Neubau",-1,IF(B8_04_4EING="Ersatz-Neubau",-1,IF(B8_04_4EING="",0,10)))</f>
        <v>0</v>
      </c>
      <c r="L6" s="230">
        <f>IF(B8_04_5EING="Neubau",-1,IF(B8_04_5EING="Ersatz-Neubau",-1,IF(B8_04_5EING="",0,10)))</f>
        <v>0</v>
      </c>
      <c r="M6" s="230">
        <f>IF(B8_04_6EING="Neubau",-1,IF(B8_04_6EING="Ersatz-Neubau",-1,IF(B8_04_6EING="",0,10)))</f>
        <v>0</v>
      </c>
      <c r="N6" s="230">
        <f>IF(B8_04_7EING="Neubau",-1,IF(B8_04_7EING="Ersatz-Neubau",-1,IF(B8_04_7EING="",0,10)))</f>
        <v>0</v>
      </c>
      <c r="O6" s="230">
        <f>SUM(H6:N6)</f>
        <v>0</v>
      </c>
      <c r="P6" s="229">
        <f>IF(O6&lt;=-1,1,IF(O6=0,1000,2))</f>
        <v>1000</v>
      </c>
    </row>
    <row r="7" spans="1:16" ht="19.149999999999999" customHeight="1" x14ac:dyDescent="0.2">
      <c r="A7" s="363"/>
      <c r="B7" s="363"/>
      <c r="C7" s="363"/>
      <c r="D7" s="346"/>
    </row>
    <row r="8" spans="1:16" ht="19.149999999999999" customHeight="1" x14ac:dyDescent="0.2">
      <c r="A8" s="363"/>
      <c r="B8" s="363"/>
      <c r="C8" s="363"/>
      <c r="D8" s="346"/>
    </row>
    <row r="9" spans="1:16" ht="19.149999999999999" customHeight="1" x14ac:dyDescent="0.2">
      <c r="A9" s="366" t="s">
        <v>116</v>
      </c>
      <c r="B9" s="366"/>
      <c r="C9" s="366" t="s">
        <v>498</v>
      </c>
      <c r="D9" s="349"/>
    </row>
    <row r="10" spans="1:16" ht="19.149999999999999" customHeight="1" x14ac:dyDescent="0.2">
      <c r="A10" s="361"/>
      <c r="B10" s="361"/>
      <c r="C10" s="361"/>
      <c r="D10" s="345"/>
    </row>
    <row r="11" spans="1:16" ht="19.149999999999999" customHeight="1" x14ac:dyDescent="0.2">
      <c r="A11" s="367" t="s">
        <v>541</v>
      </c>
      <c r="B11" s="361"/>
      <c r="C11" s="367" t="s">
        <v>541</v>
      </c>
      <c r="D11" s="345"/>
      <c r="F11" s="379" t="str">
        <f>A11</f>
        <v>20Baugrube</v>
      </c>
    </row>
    <row r="12" spans="1:16" ht="19.149999999999999" customHeight="1" x14ac:dyDescent="0.2">
      <c r="A12" s="1181"/>
      <c r="B12" s="1182"/>
      <c r="C12" s="360"/>
      <c r="D12" s="358"/>
    </row>
    <row r="13" spans="1:16" ht="19.149999999999999" customHeight="1" x14ac:dyDescent="0.2">
      <c r="A13" s="368" t="s">
        <v>428</v>
      </c>
      <c r="B13" s="369"/>
      <c r="C13" s="369" t="s">
        <v>427</v>
      </c>
      <c r="D13" s="351"/>
      <c r="F13" s="229" t="str">
        <f>IF(B8_04_1EING="Neubau",A13,IF(B8_04_1EING="Ersatz-Neubau",A13,C13))</f>
        <v>Kleinere Arbeiten, Aushub für Fassaden Dämmung etc.</v>
      </c>
    </row>
    <row r="14" spans="1:16" ht="19.149999999999999" customHeight="1" x14ac:dyDescent="0.2">
      <c r="A14" s="368" t="s">
        <v>429</v>
      </c>
      <c r="B14" s="354"/>
      <c r="C14" s="368" t="s">
        <v>464</v>
      </c>
      <c r="D14" s="352"/>
      <c r="F14" s="229" t="str">
        <f t="shared" ref="F14:F20" si="0">IF(B8_04_1EING="Neubau",A14,IF(B8_04_1EING="Ersatz-Neubau",A14,C14))</f>
        <v>Freilegen Mauerwerk unter Terrain</v>
      </c>
    </row>
    <row r="15" spans="1:16" ht="19.149999999999999" customHeight="1" x14ac:dyDescent="0.2">
      <c r="A15" s="368" t="s">
        <v>430</v>
      </c>
      <c r="B15" s="354"/>
      <c r="C15" s="354" t="s">
        <v>531</v>
      </c>
      <c r="D15" s="352"/>
      <c r="F15" s="229" t="str">
        <f t="shared" si="0"/>
        <v>Grössere Aushubarbeiten, Baugrubensicherungen, anpassungen an Kanalisation</v>
      </c>
    </row>
    <row r="16" spans="1:16" ht="19.149999999999999" customHeight="1" x14ac:dyDescent="0.2">
      <c r="A16" s="368" t="s">
        <v>528</v>
      </c>
      <c r="B16" s="354"/>
      <c r="C16" s="354" t="s">
        <v>416</v>
      </c>
      <c r="D16" s="352"/>
      <c r="F16" s="229" t="str">
        <f t="shared" si="0"/>
        <v>-</v>
      </c>
    </row>
    <row r="17" spans="1:6" ht="19.149999999999999" customHeight="1" x14ac:dyDescent="0.2">
      <c r="A17" s="368" t="s">
        <v>506</v>
      </c>
      <c r="B17" s="355"/>
      <c r="C17" s="354" t="s">
        <v>416</v>
      </c>
      <c r="D17" s="352"/>
      <c r="F17" s="229" t="str">
        <f t="shared" si="0"/>
        <v>-</v>
      </c>
    </row>
    <row r="18" spans="1:6" ht="19.149999999999999" customHeight="1" x14ac:dyDescent="0.2">
      <c r="A18" s="368" t="s">
        <v>529</v>
      </c>
      <c r="B18" s="355"/>
      <c r="C18" s="354" t="s">
        <v>416</v>
      </c>
      <c r="D18" s="352"/>
      <c r="F18" s="229" t="str">
        <f t="shared" si="0"/>
        <v>-</v>
      </c>
    </row>
    <row r="19" spans="1:6" ht="19.149999999999999" customHeight="1" x14ac:dyDescent="0.2">
      <c r="A19" s="368" t="s">
        <v>507</v>
      </c>
      <c r="B19" s="355"/>
      <c r="C19" s="354" t="s">
        <v>416</v>
      </c>
      <c r="D19" s="352"/>
      <c r="F19" s="229" t="str">
        <f t="shared" si="0"/>
        <v>-</v>
      </c>
    </row>
    <row r="20" spans="1:6" ht="19.149999999999999" customHeight="1" x14ac:dyDescent="0.2">
      <c r="A20" s="368" t="s">
        <v>530</v>
      </c>
      <c r="B20" s="355"/>
      <c r="C20" s="354" t="s">
        <v>416</v>
      </c>
      <c r="D20" s="352"/>
      <c r="F20" s="229" t="str">
        <f t="shared" si="0"/>
        <v>-</v>
      </c>
    </row>
    <row r="21" spans="1:6" ht="19.149999999999999" customHeight="1" x14ac:dyDescent="0.2">
      <c r="A21" s="368"/>
      <c r="B21" s="370"/>
      <c r="C21" s="355"/>
      <c r="D21" s="346"/>
    </row>
    <row r="22" spans="1:6" ht="19.149999999999999" customHeight="1" x14ac:dyDescent="0.2">
      <c r="A22" s="367" t="s">
        <v>101</v>
      </c>
      <c r="B22" s="370"/>
      <c r="C22" s="367" t="s">
        <v>101</v>
      </c>
      <c r="D22" s="346"/>
      <c r="F22" s="379" t="str">
        <f>A22</f>
        <v>21 Rohbau 1</v>
      </c>
    </row>
    <row r="23" spans="1:6" ht="19.149999999999999" customHeight="1" x14ac:dyDescent="0.2">
      <c r="A23" s="360"/>
      <c r="B23" s="371"/>
      <c r="C23" s="360"/>
      <c r="D23" s="359"/>
      <c r="E23" s="357"/>
    </row>
    <row r="24" spans="1:6" ht="19.149999999999999" customHeight="1" x14ac:dyDescent="0.2">
      <c r="A24" s="368" t="s">
        <v>431</v>
      </c>
      <c r="B24" s="372"/>
      <c r="C24" s="368" t="s">
        <v>483</v>
      </c>
      <c r="D24" s="351"/>
      <c r="F24" s="229" t="str">
        <f t="shared" ref="F24:F29" si="1">IF(B8_04_1EING="Neubau",A24,IF(B8_04_1EING="Ersatz-Neubau",A24,C24))</f>
        <v>Keine Eingriffe in Struktur</v>
      </c>
    </row>
    <row r="25" spans="1:6" ht="19.149999999999999" customHeight="1" x14ac:dyDescent="0.2">
      <c r="A25" s="368" t="s">
        <v>432</v>
      </c>
      <c r="B25" s="373"/>
      <c r="C25" s="368" t="s">
        <v>465</v>
      </c>
      <c r="D25" s="352"/>
      <c r="F25" s="229" t="str">
        <f t="shared" si="1"/>
        <v>Wenig Eingriffe in Struktur</v>
      </c>
    </row>
    <row r="26" spans="1:6" ht="19.149999999999999" customHeight="1" x14ac:dyDescent="0.2">
      <c r="A26" s="368" t="s">
        <v>433</v>
      </c>
      <c r="B26" s="373"/>
      <c r="C26" s="374" t="s">
        <v>484</v>
      </c>
      <c r="D26" s="353"/>
      <c r="F26" s="229" t="str">
        <f t="shared" si="1"/>
        <v>Wenig Eingriffe in Struktur, Teilersatz konstruktiver Bauteile</v>
      </c>
    </row>
    <row r="27" spans="1:6" ht="19.149999999999999" customHeight="1" x14ac:dyDescent="0.2">
      <c r="A27" s="368" t="s">
        <v>434</v>
      </c>
      <c r="B27" s="373"/>
      <c r="C27" s="374" t="s">
        <v>482</v>
      </c>
      <c r="D27" s="353"/>
      <c r="F27" s="229" t="str">
        <f t="shared" si="1"/>
        <v>Grössere Eingriffe in Struktur, Ersatz konstruktiver Bauteile</v>
      </c>
    </row>
    <row r="28" spans="1:6" ht="19.149999999999999" customHeight="1" x14ac:dyDescent="0.2">
      <c r="A28" s="368" t="s">
        <v>505</v>
      </c>
      <c r="B28" s="375"/>
      <c r="C28" s="374" t="s">
        <v>532</v>
      </c>
      <c r="D28" s="353"/>
      <c r="F28" s="229" t="str">
        <f t="shared" si="1"/>
        <v>Komplexe und grössere Eingriffe in Struktur, Ersatz konstruktiver Bauteile</v>
      </c>
    </row>
    <row r="29" spans="1:6" ht="19.149999999999999" customHeight="1" x14ac:dyDescent="0.2">
      <c r="A29" s="368" t="s">
        <v>435</v>
      </c>
      <c r="B29" s="375"/>
      <c r="C29" s="354" t="s">
        <v>416</v>
      </c>
      <c r="D29" s="352"/>
      <c r="F29" s="229" t="str">
        <f t="shared" si="1"/>
        <v>-</v>
      </c>
    </row>
    <row r="30" spans="1:6" ht="19.149999999999999" customHeight="1" x14ac:dyDescent="0.2">
      <c r="A30" s="363"/>
      <c r="B30" s="375"/>
      <c r="C30" s="354"/>
      <c r="D30" s="352"/>
    </row>
    <row r="31" spans="1:6" ht="19.149999999999999" customHeight="1" x14ac:dyDescent="0.2">
      <c r="A31" s="367" t="s">
        <v>102</v>
      </c>
      <c r="B31" s="375"/>
      <c r="C31" s="367" t="s">
        <v>102</v>
      </c>
      <c r="D31" s="352"/>
      <c r="F31" s="379" t="str">
        <f>A31</f>
        <v>22 Rohbau 2</v>
      </c>
    </row>
    <row r="32" spans="1:6" ht="19.149999999999999" customHeight="1" x14ac:dyDescent="0.2">
      <c r="A32" s="360"/>
      <c r="B32" s="371"/>
      <c r="C32" s="376"/>
      <c r="D32" s="359"/>
    </row>
    <row r="33" spans="1:6" ht="19.149999999999999" customHeight="1" x14ac:dyDescent="0.2">
      <c r="A33" s="368" t="s">
        <v>516</v>
      </c>
      <c r="B33" s="369"/>
      <c r="C33" s="368" t="s">
        <v>421</v>
      </c>
      <c r="D33" s="352"/>
      <c r="F33" s="229" t="str">
        <f t="shared" ref="F33:F40" si="2">IF(B8_04_1EING="Neubau",A33,IF(B8_04_1EING="Ersatz-Neubau",A33,C33))</f>
        <v>Instandsetzung wie bestehend</v>
      </c>
    </row>
    <row r="34" spans="1:6" ht="19.149999999999999" customHeight="1" x14ac:dyDescent="0.2">
      <c r="A34" s="368" t="s">
        <v>517</v>
      </c>
      <c r="B34" s="373"/>
      <c r="C34" s="354" t="s">
        <v>500</v>
      </c>
      <c r="D34" s="352"/>
      <c r="F34" s="229" t="str">
        <f t="shared" si="2"/>
        <v>partielle energetische Verbesserungen, tw. neue Fenster, tw. neuer Fassadenputz</v>
      </c>
    </row>
    <row r="35" spans="1:6" ht="19.149999999999999" customHeight="1" x14ac:dyDescent="0.2">
      <c r="A35" s="368" t="s">
        <v>518</v>
      </c>
      <c r="B35" s="373"/>
      <c r="C35" s="374" t="s">
        <v>466</v>
      </c>
      <c r="D35" s="353"/>
      <c r="F35" s="229" t="str">
        <f t="shared" si="2"/>
        <v>energetische Verbesserungen, neue Fenster</v>
      </c>
    </row>
    <row r="36" spans="1:6" ht="19.149999999999999" customHeight="1" x14ac:dyDescent="0.2">
      <c r="A36" s="368" t="s">
        <v>519</v>
      </c>
      <c r="B36" s="373"/>
      <c r="C36" s="374" t="s">
        <v>524</v>
      </c>
      <c r="D36" s="353"/>
      <c r="F36" s="229" t="str">
        <f t="shared" si="2"/>
        <v>energetische Verbesserungen, neue 3-fach isolierte Fenster, Holz / Metall</v>
      </c>
    </row>
    <row r="37" spans="1:6" ht="19.149999999999999" customHeight="1" x14ac:dyDescent="0.2">
      <c r="A37" s="374" t="s">
        <v>520</v>
      </c>
      <c r="B37" s="355"/>
      <c r="C37" s="374" t="s">
        <v>467</v>
      </c>
      <c r="D37" s="353"/>
      <c r="F37" s="229" t="str">
        <f t="shared" si="2"/>
        <v>energetische Verbesserungen, neue Fenster, neuer Fassadenaufbau</v>
      </c>
    </row>
    <row r="38" spans="1:6" ht="19.149999999999999" customHeight="1" x14ac:dyDescent="0.2">
      <c r="A38" s="374" t="s">
        <v>521</v>
      </c>
      <c r="B38" s="363"/>
      <c r="C38" s="374" t="s">
        <v>501</v>
      </c>
      <c r="D38" s="352"/>
      <c r="F38" s="229" t="str">
        <f t="shared" si="2"/>
        <v>energetische Verbesserungen, neue Fenster, neuer Fassaden- und Dachaufbau</v>
      </c>
    </row>
    <row r="39" spans="1:6" ht="19.149999999999999" customHeight="1" x14ac:dyDescent="0.2">
      <c r="A39" s="374" t="s">
        <v>522</v>
      </c>
      <c r="B39" s="363"/>
      <c r="C39" s="374" t="s">
        <v>508</v>
      </c>
      <c r="D39" s="352"/>
      <c r="F39" s="229" t="str">
        <f t="shared" si="2"/>
        <v>energetische Verbesserungen, neue 3-fach isol. Fenster, neuer Fassaden- und Dachaufbau, begehbar</v>
      </c>
    </row>
    <row r="40" spans="1:6" ht="19.149999999999999" customHeight="1" x14ac:dyDescent="0.2">
      <c r="A40" s="374" t="s">
        <v>523</v>
      </c>
      <c r="B40" s="363"/>
      <c r="C40" s="354" t="s">
        <v>416</v>
      </c>
      <c r="D40" s="352"/>
      <c r="F40" s="229" t="str">
        <f t="shared" si="2"/>
        <v>-</v>
      </c>
    </row>
    <row r="41" spans="1:6" ht="19.149999999999999" customHeight="1" x14ac:dyDescent="0.2">
      <c r="A41" s="363"/>
      <c r="B41" s="363"/>
      <c r="C41" s="354"/>
      <c r="D41" s="352"/>
    </row>
    <row r="42" spans="1:6" ht="19.149999999999999" customHeight="1" x14ac:dyDescent="0.2">
      <c r="A42" s="377" t="s">
        <v>103</v>
      </c>
      <c r="B42" s="363"/>
      <c r="C42" s="377" t="s">
        <v>103</v>
      </c>
      <c r="D42" s="352"/>
      <c r="F42" s="379" t="str">
        <f>A42</f>
        <v>23 Elektroanlagen</v>
      </c>
    </row>
    <row r="43" spans="1:6" ht="19.149999999999999" customHeight="1" x14ac:dyDescent="0.2">
      <c r="A43" s="376"/>
      <c r="B43" s="371"/>
      <c r="C43" s="360"/>
      <c r="D43" s="359"/>
    </row>
    <row r="44" spans="1:6" ht="19.149999999999999" customHeight="1" x14ac:dyDescent="0.2">
      <c r="A44" s="368" t="s">
        <v>436</v>
      </c>
      <c r="B44" s="354"/>
      <c r="C44" s="368" t="s">
        <v>436</v>
      </c>
      <c r="D44" s="351"/>
      <c r="F44" s="229" t="str">
        <f t="shared" ref="F44:F49" si="3">IF(B8_04_1EING="Neubau",A44,IF(B8_04_1EING="Ersatz-Neubau",A44,C44))</f>
        <v>Einfache Stark- und Schwachstromanlage</v>
      </c>
    </row>
    <row r="45" spans="1:6" ht="19.149999999999999" customHeight="1" x14ac:dyDescent="0.2">
      <c r="A45" s="368" t="s">
        <v>437</v>
      </c>
      <c r="B45" s="354"/>
      <c r="C45" s="368" t="s">
        <v>437</v>
      </c>
      <c r="D45" s="352"/>
      <c r="F45" s="229" t="str">
        <f t="shared" si="3"/>
        <v>Normale Stark- und Schwachstromanlage</v>
      </c>
    </row>
    <row r="46" spans="1:6" ht="19.149999999999999" customHeight="1" x14ac:dyDescent="0.2">
      <c r="A46" s="368" t="s">
        <v>438</v>
      </c>
      <c r="B46" s="354"/>
      <c r="C46" s="368" t="s">
        <v>509</v>
      </c>
      <c r="D46" s="352"/>
      <c r="F46" s="229" t="str">
        <f t="shared" si="3"/>
        <v>Teilersatz; Normale Stark- und Schwachstromanlage</v>
      </c>
    </row>
    <row r="47" spans="1:6" ht="19.149999999999999" customHeight="1" x14ac:dyDescent="0.2">
      <c r="A47" s="368" t="s">
        <v>438</v>
      </c>
      <c r="B47" s="354"/>
      <c r="C47" s="368" t="s">
        <v>510</v>
      </c>
      <c r="D47" s="352"/>
      <c r="F47" s="229" t="str">
        <f t="shared" si="3"/>
        <v>Teilersatz; Komplexe Stark- und Schwachstromanlage</v>
      </c>
    </row>
    <row r="48" spans="1:6" ht="19.149999999999999" customHeight="1" x14ac:dyDescent="0.2">
      <c r="A48" s="368" t="s">
        <v>439</v>
      </c>
      <c r="B48" s="354"/>
      <c r="C48" s="368" t="s">
        <v>438</v>
      </c>
      <c r="D48" s="352"/>
      <c r="F48" s="229" t="str">
        <f t="shared" si="3"/>
        <v>Komplexe Stark- und Schwachstromanlage</v>
      </c>
    </row>
    <row r="49" spans="1:6" ht="19.149999999999999" customHeight="1" x14ac:dyDescent="0.2">
      <c r="A49" s="363" t="s">
        <v>416</v>
      </c>
      <c r="B49" s="363"/>
      <c r="C49" s="368" t="s">
        <v>439</v>
      </c>
      <c r="D49" s="346"/>
      <c r="F49" s="229" t="str">
        <f t="shared" si="3"/>
        <v>Hochtechnisierte, neue Stark- und Schwachstromanlage, Sicherheitsanlagen</v>
      </c>
    </row>
    <row r="50" spans="1:6" ht="19.149999999999999" customHeight="1" x14ac:dyDescent="0.2">
      <c r="A50" s="363"/>
      <c r="B50" s="363"/>
      <c r="C50" s="354"/>
      <c r="D50" s="346"/>
    </row>
    <row r="51" spans="1:6" ht="19.149999999999999" customHeight="1" x14ac:dyDescent="0.2">
      <c r="A51" s="377" t="s">
        <v>185</v>
      </c>
      <c r="B51" s="363"/>
      <c r="C51" s="377" t="s">
        <v>185</v>
      </c>
      <c r="D51" s="346"/>
      <c r="F51" s="379" t="str">
        <f>A51</f>
        <v>242 Wärmeerzeugung</v>
      </c>
    </row>
    <row r="52" spans="1:6" ht="19.149999999999999" customHeight="1" x14ac:dyDescent="0.2">
      <c r="A52" s="376"/>
      <c r="B52" s="376"/>
      <c r="C52" s="376"/>
      <c r="D52" s="356"/>
    </row>
    <row r="53" spans="1:6" ht="19.149999999999999" customHeight="1" x14ac:dyDescent="0.2">
      <c r="A53" s="368" t="s">
        <v>440</v>
      </c>
      <c r="B53" s="354"/>
      <c r="C53" s="368" t="s">
        <v>468</v>
      </c>
      <c r="D53" s="351"/>
      <c r="F53" s="229" t="str">
        <f t="shared" ref="F53:F59" si="4">IF(B8_04_1EING="Neubau",A53,IF(B8_04_1EING="Ersatz-Neubau",A53,C53))</f>
        <v>Instandsetzen der bestehenden Anlage</v>
      </c>
    </row>
    <row r="54" spans="1:6" ht="19.149999999999999" customHeight="1" x14ac:dyDescent="0.2">
      <c r="A54" s="368" t="s">
        <v>418</v>
      </c>
      <c r="B54" s="354"/>
      <c r="C54" s="368" t="s">
        <v>418</v>
      </c>
      <c r="D54" s="352"/>
      <c r="F54" s="229" t="str">
        <f t="shared" si="4"/>
        <v>Fernwärme, neuer Anschluss</v>
      </c>
    </row>
    <row r="55" spans="1:6" ht="19.149999999999999" customHeight="1" x14ac:dyDescent="0.2">
      <c r="A55" s="368" t="s">
        <v>441</v>
      </c>
      <c r="B55" s="354"/>
      <c r="C55" s="368" t="s">
        <v>469</v>
      </c>
      <c r="D55" s="352"/>
      <c r="F55" s="229" t="str">
        <f t="shared" si="4"/>
        <v>Neue Wärmeerzeugung Oel / Gas</v>
      </c>
    </row>
    <row r="56" spans="1:6" ht="19.149999999999999" customHeight="1" x14ac:dyDescent="0.2">
      <c r="A56" s="368" t="s">
        <v>442</v>
      </c>
      <c r="B56" s="354"/>
      <c r="C56" s="368" t="s">
        <v>470</v>
      </c>
      <c r="D56" s="352"/>
      <c r="F56" s="229" t="str">
        <f t="shared" si="4"/>
        <v>Neue Wärmeerzeugung Oel / Gas kombiniert mit alternativer Energiequelle</v>
      </c>
    </row>
    <row r="57" spans="1:6" ht="19.149999999999999" customHeight="1" x14ac:dyDescent="0.2">
      <c r="A57" s="368" t="s">
        <v>443</v>
      </c>
      <c r="B57" s="354"/>
      <c r="C57" s="368" t="s">
        <v>443</v>
      </c>
      <c r="D57" s="352"/>
      <c r="F57" s="229" t="str">
        <f t="shared" si="4"/>
        <v>Wärmepumpe mit Kollektoren</v>
      </c>
    </row>
    <row r="58" spans="1:6" ht="19.149999999999999" customHeight="1" x14ac:dyDescent="0.2">
      <c r="A58" s="368" t="s">
        <v>444</v>
      </c>
      <c r="B58" s="354"/>
      <c r="C58" s="368" t="s">
        <v>444</v>
      </c>
      <c r="D58" s="352"/>
      <c r="F58" s="229" t="str">
        <f t="shared" si="4"/>
        <v>Wärmepumpe mit Erdsonen</v>
      </c>
    </row>
    <row r="59" spans="1:6" ht="19.149999999999999" customHeight="1" x14ac:dyDescent="0.2">
      <c r="A59" s="368" t="s">
        <v>445</v>
      </c>
      <c r="B59" s="363"/>
      <c r="C59" s="368" t="s">
        <v>445</v>
      </c>
      <c r="D59" s="352"/>
      <c r="F59" s="229" t="str">
        <f t="shared" si="4"/>
        <v>Kombination diverser Wärmeerzeuger</v>
      </c>
    </row>
    <row r="60" spans="1:6" ht="19.149999999999999" customHeight="1" x14ac:dyDescent="0.2">
      <c r="A60" s="363"/>
      <c r="B60" s="363"/>
      <c r="C60" s="363"/>
      <c r="D60" s="346"/>
    </row>
    <row r="61" spans="1:6" ht="19.149999999999999" customHeight="1" x14ac:dyDescent="0.2">
      <c r="A61" s="377" t="s">
        <v>186</v>
      </c>
      <c r="B61" s="363"/>
      <c r="C61" s="377" t="s">
        <v>186</v>
      </c>
      <c r="D61" s="346"/>
      <c r="F61" s="379" t="str">
        <f>A61</f>
        <v>243/248 Wärmeverteilung (ink. Dämmung)</v>
      </c>
    </row>
    <row r="62" spans="1:6" ht="19.149999999999999" customHeight="1" x14ac:dyDescent="0.2">
      <c r="A62" s="376"/>
      <c r="B62" s="376"/>
      <c r="C62" s="376"/>
      <c r="D62" s="356"/>
      <c r="E62" s="357"/>
    </row>
    <row r="63" spans="1:6" ht="19.149999999999999" customHeight="1" x14ac:dyDescent="0.2">
      <c r="A63" s="368" t="s">
        <v>440</v>
      </c>
      <c r="B63" s="354"/>
      <c r="C63" s="368" t="s">
        <v>471</v>
      </c>
      <c r="D63" s="350"/>
      <c r="F63" s="229" t="str">
        <f>IF(B8_04_1EING="Neubau",A63,IF(B8_04_1EING="Ersatz-Neubau",A63,C63))</f>
        <v>Instandsetzen der bestehenden Verteilung</v>
      </c>
    </row>
    <row r="64" spans="1:6" ht="19.149999999999999" customHeight="1" x14ac:dyDescent="0.2">
      <c r="A64" s="368" t="s">
        <v>446</v>
      </c>
      <c r="B64" s="354"/>
      <c r="C64" s="368" t="s">
        <v>474</v>
      </c>
      <c r="D64" s="350"/>
      <c r="F64" s="229" t="str">
        <f>IF(B8_04_1EING="Neubau",A64,IF(B8_04_1EING="Ersatz-Neubau",A64,C64))</f>
        <v>Tw. Ersatz von Radiatoren</v>
      </c>
    </row>
    <row r="65" spans="1:6" ht="19.149999999999999" customHeight="1" x14ac:dyDescent="0.2">
      <c r="A65" s="368" t="s">
        <v>447</v>
      </c>
      <c r="B65" s="363"/>
      <c r="C65" s="368" t="s">
        <v>472</v>
      </c>
      <c r="D65" s="350"/>
      <c r="F65" s="229" t="str">
        <f>IF(B8_04_1EING="Neubau",A65,IF(B8_04_1EING="Ersatz-Neubau",A65,C65))</f>
        <v>Alle Radiatoren neu</v>
      </c>
    </row>
    <row r="66" spans="1:6" ht="19.149999999999999" customHeight="1" x14ac:dyDescent="0.2">
      <c r="A66" s="368" t="s">
        <v>448</v>
      </c>
      <c r="B66" s="363"/>
      <c r="C66" s="368" t="s">
        <v>473</v>
      </c>
      <c r="D66" s="350"/>
      <c r="F66" s="229" t="str">
        <f>IF(B8_04_1EING="Neubau",A66,IF(B8_04_1EING="Ersatz-Neubau",A66,C66))</f>
        <v>Alle Radiatoren und Leitungen neu</v>
      </c>
    </row>
    <row r="67" spans="1:6" ht="19.149999999999999" customHeight="1" x14ac:dyDescent="0.2">
      <c r="A67" s="354"/>
      <c r="B67" s="363"/>
      <c r="C67" s="354"/>
      <c r="D67" s="352"/>
    </row>
    <row r="68" spans="1:6" ht="19.149999999999999" customHeight="1" x14ac:dyDescent="0.2">
      <c r="A68" s="377" t="s">
        <v>187</v>
      </c>
      <c r="B68" s="363"/>
      <c r="C68" s="377" t="s">
        <v>187</v>
      </c>
      <c r="D68" s="352"/>
      <c r="F68" s="379" t="str">
        <f>A68</f>
        <v>244/245 Lüftungsanlagen / Klimaanlagen</v>
      </c>
    </row>
    <row r="69" spans="1:6" ht="19.149999999999999" customHeight="1" x14ac:dyDescent="0.2">
      <c r="A69" s="376"/>
      <c r="B69" s="376"/>
      <c r="C69" s="376"/>
      <c r="D69" s="356"/>
      <c r="E69" s="357"/>
    </row>
    <row r="70" spans="1:6" ht="19.149999999999999" customHeight="1" x14ac:dyDescent="0.2">
      <c r="A70" s="368" t="s">
        <v>451</v>
      </c>
      <c r="B70" s="354"/>
      <c r="C70" s="368" t="s">
        <v>419</v>
      </c>
      <c r="D70" s="351"/>
      <c r="F70" s="229" t="str">
        <f>IF(B8_04_1EING="Neubau",A70,IF(B8_04_1EING="Ersatz-Neubau",A70,C70))</f>
        <v>Revidieren der bestehenden Anlage</v>
      </c>
    </row>
    <row r="71" spans="1:6" ht="19.149999999999999" customHeight="1" x14ac:dyDescent="0.2">
      <c r="A71" s="368" t="s">
        <v>452</v>
      </c>
      <c r="B71" s="354"/>
      <c r="C71" s="368" t="s">
        <v>475</v>
      </c>
      <c r="D71" s="352"/>
      <c r="F71" s="229" t="str">
        <f>IF(B8_04_1EING="Neubau",A71,IF(B8_04_1EING="Ersatz-Neubau",A71,C71))</f>
        <v>Revidieren und Erweitern der bestehenden Anlage</v>
      </c>
    </row>
    <row r="72" spans="1:6" ht="19.149999999999999" customHeight="1" x14ac:dyDescent="0.2">
      <c r="A72" s="368" t="s">
        <v>449</v>
      </c>
      <c r="B72" s="354"/>
      <c r="C72" s="368" t="s">
        <v>476</v>
      </c>
      <c r="D72" s="352"/>
      <c r="F72" s="229" t="str">
        <f>IF(B8_04_1EING="Neubau",A72,IF(B8_04_1EING="Ersatz-Neubau",A72,C72))</f>
        <v>Neue Lüftungsanlage ohne WRG</v>
      </c>
    </row>
    <row r="73" spans="1:6" ht="19.149999999999999" customHeight="1" x14ac:dyDescent="0.2">
      <c r="A73" s="368" t="s">
        <v>450</v>
      </c>
      <c r="B73" s="354"/>
      <c r="C73" s="368" t="s">
        <v>477</v>
      </c>
      <c r="D73" s="352"/>
      <c r="F73" s="229" t="str">
        <f>IF(B8_04_1EING="Neubau",A73,IF(B8_04_1EING="Ersatz-Neubau",A73,C73))</f>
        <v>Neue Lüftungsanlage mit WRG</v>
      </c>
    </row>
    <row r="74" spans="1:6" ht="19.149999999999999" customHeight="1" x14ac:dyDescent="0.2">
      <c r="A74" s="368" t="s">
        <v>416</v>
      </c>
      <c r="B74" s="363"/>
      <c r="C74" s="368" t="s">
        <v>420</v>
      </c>
      <c r="D74" s="352"/>
      <c r="F74" s="229" t="str">
        <f>IF(B8_04_1EING="Neubau",A74,IF(B8_04_1EING="Ersatz-Neubau",A74,C74))</f>
        <v>Neue Lüftungsanlage, mit WRG, mit Klimaanlage</v>
      </c>
    </row>
    <row r="75" spans="1:6" ht="19.149999999999999" customHeight="1" x14ac:dyDescent="0.2">
      <c r="A75" s="363"/>
      <c r="B75" s="363"/>
      <c r="C75" s="363"/>
      <c r="D75" s="346"/>
    </row>
    <row r="76" spans="1:6" ht="19.149999999999999" customHeight="1" x14ac:dyDescent="0.2">
      <c r="A76" s="377" t="s">
        <v>525</v>
      </c>
      <c r="B76" s="363"/>
      <c r="C76" s="377" t="s">
        <v>525</v>
      </c>
      <c r="D76" s="346"/>
      <c r="F76" s="379" t="str">
        <f>A76</f>
        <v>25 Sanitäranlagen - Solar (Nur Warmwasser)</v>
      </c>
    </row>
    <row r="77" spans="1:6" ht="19.149999999999999" customHeight="1" x14ac:dyDescent="0.2">
      <c r="A77" s="376"/>
      <c r="B77" s="376"/>
      <c r="C77" s="376"/>
      <c r="D77" s="356"/>
    </row>
    <row r="78" spans="1:6" ht="19.149999999999999" customHeight="1" x14ac:dyDescent="0.2">
      <c r="A78" s="368" t="s">
        <v>526</v>
      </c>
      <c r="B78" s="354"/>
      <c r="C78" s="368" t="s">
        <v>526</v>
      </c>
      <c r="D78" s="350"/>
      <c r="F78" s="229" t="str">
        <f>IF(B8_04_1EING="Neubau",A78,IF(B8_04_1EING="Ersatz-Neubau",A78,C78))</f>
        <v>Keins Vorgesehen</v>
      </c>
    </row>
    <row r="79" spans="1:6" ht="19.149999999999999" customHeight="1" x14ac:dyDescent="0.2">
      <c r="A79" s="368" t="s">
        <v>527</v>
      </c>
      <c r="B79" s="363"/>
      <c r="C79" s="368" t="s">
        <v>527</v>
      </c>
      <c r="D79" s="350"/>
      <c r="F79" s="229" t="str">
        <f>IF(B8_04_1EING="Neubau",A79,IF(B8_04_1EING="Ersatz-Neubau",A79,C79))</f>
        <v>XXX m2 Solaranlage vorgesehen</v>
      </c>
    </row>
    <row r="80" spans="1:6" ht="19.149999999999999" customHeight="1" x14ac:dyDescent="0.2">
      <c r="A80" s="361"/>
      <c r="B80" s="361"/>
      <c r="C80" s="361"/>
      <c r="D80" s="345"/>
    </row>
    <row r="81" spans="1:6" ht="19.149999999999999" customHeight="1" x14ac:dyDescent="0.2">
      <c r="A81" s="377" t="s">
        <v>188</v>
      </c>
      <c r="B81" s="361"/>
      <c r="C81" s="377" t="s">
        <v>188</v>
      </c>
      <c r="D81" s="345"/>
      <c r="F81" s="379" t="str">
        <f>A81</f>
        <v>25 Sanitäranlagen (ohne Kücheneinrichtung)</v>
      </c>
    </row>
    <row r="82" spans="1:6" ht="19.149999999999999" customHeight="1" x14ac:dyDescent="0.2">
      <c r="A82" s="376"/>
      <c r="B82" s="376"/>
      <c r="C82" s="376"/>
      <c r="D82" s="356"/>
    </row>
    <row r="83" spans="1:6" ht="19.149999999999999" customHeight="1" x14ac:dyDescent="0.2">
      <c r="A83" s="368" t="s">
        <v>453</v>
      </c>
      <c r="B83" s="354"/>
      <c r="C83" s="368" t="s">
        <v>419</v>
      </c>
      <c r="D83" s="351"/>
      <c r="F83" s="229" t="str">
        <f>IF(B8_04_1EING="Neubau",A83,IF(B8_04_1EING="Ersatz-Neubau",A83,C83))</f>
        <v>Revidieren der bestehenden Anlage</v>
      </c>
    </row>
    <row r="84" spans="1:6" ht="19.149999999999999" customHeight="1" x14ac:dyDescent="0.2">
      <c r="A84" s="368" t="s">
        <v>454</v>
      </c>
      <c r="B84" s="354"/>
      <c r="C84" s="368" t="s">
        <v>475</v>
      </c>
      <c r="D84" s="352"/>
      <c r="F84" s="229" t="str">
        <f>IF(B8_04_1EING="Neubau",A84,IF(B8_04_1EING="Ersatz-Neubau",A84,C84))</f>
        <v>Revidieren und Erweitern der bestehenden Anlage</v>
      </c>
    </row>
    <row r="85" spans="1:6" ht="19.149999999999999" customHeight="1" x14ac:dyDescent="0.2">
      <c r="A85" s="368" t="s">
        <v>455</v>
      </c>
      <c r="B85" s="354"/>
      <c r="C85" s="368" t="s">
        <v>515</v>
      </c>
      <c r="D85" s="352"/>
      <c r="F85" s="229" t="str">
        <f>IF(B8_04_1EING="Neubau",A85,IF(B8_04_1EING="Ersatz-Neubau",A85,C85))</f>
        <v>Teilersatz der besth. Anlage</v>
      </c>
    </row>
    <row r="86" spans="1:6" ht="19.149999999999999" customHeight="1" x14ac:dyDescent="0.2">
      <c r="A86" s="368" t="s">
        <v>456</v>
      </c>
      <c r="B86" s="363"/>
      <c r="C86" s="368" t="s">
        <v>478</v>
      </c>
      <c r="D86" s="352"/>
      <c r="F86" s="229" t="str">
        <f>IF(B8_04_1EING="Neubau",A86,IF(B8_04_1EING="Ersatz-Neubau",A86,C86))</f>
        <v>Neue Sanitäranlage</v>
      </c>
    </row>
    <row r="87" spans="1:6" ht="19.149999999999999" customHeight="1" x14ac:dyDescent="0.2">
      <c r="A87" s="354" t="s">
        <v>416</v>
      </c>
      <c r="B87" s="363"/>
      <c r="C87" s="368" t="s">
        <v>479</v>
      </c>
      <c r="D87" s="352"/>
      <c r="F87" s="229" t="str">
        <f>IF(B8_04_1EING="Neubau",A87,IF(B8_04_1EING="Ersatz-Neubau",A87,C87))</f>
        <v>Neue komplexe Sanitäranlage, Brandlöschanlage</v>
      </c>
    </row>
    <row r="88" spans="1:6" ht="19.149999999999999" customHeight="1" x14ac:dyDescent="0.2">
      <c r="A88" s="354"/>
      <c r="B88" s="363"/>
      <c r="C88" s="354"/>
      <c r="D88" s="352"/>
    </row>
    <row r="89" spans="1:6" ht="19.149999999999999" customHeight="1" x14ac:dyDescent="0.2">
      <c r="A89" s="377" t="s">
        <v>189</v>
      </c>
      <c r="B89" s="363"/>
      <c r="C89" s="377" t="s">
        <v>189</v>
      </c>
      <c r="D89" s="346"/>
      <c r="F89" s="379" t="str">
        <f>A89</f>
        <v>258 Kücheneinrichtung (Grossküchen in BKP 3)</v>
      </c>
    </row>
    <row r="90" spans="1:6" ht="19.149999999999999" customHeight="1" x14ac:dyDescent="0.2">
      <c r="A90" s="376"/>
      <c r="B90" s="376"/>
      <c r="C90" s="376"/>
      <c r="D90" s="356"/>
    </row>
    <row r="91" spans="1:6" ht="19.149999999999999" customHeight="1" x14ac:dyDescent="0.2">
      <c r="A91" s="368" t="s">
        <v>511</v>
      </c>
      <c r="B91" s="354"/>
      <c r="C91" s="368" t="s">
        <v>480</v>
      </c>
      <c r="D91" s="351"/>
      <c r="F91" s="229" t="str">
        <f t="shared" ref="F91:F96" si="5">IF(B8_04_1EING="Neubau",A91,IF(B8_04_1EING="Ersatz-Neubau",A91,C91))</f>
        <v>Revidieren der bestehenden Küchen</v>
      </c>
    </row>
    <row r="92" spans="1:6" ht="19.149999999999999" customHeight="1" x14ac:dyDescent="0.2">
      <c r="A92" s="368" t="s">
        <v>512</v>
      </c>
      <c r="B92" s="354"/>
      <c r="C92" s="368" t="s">
        <v>481</v>
      </c>
      <c r="D92" s="352"/>
      <c r="F92" s="229" t="str">
        <f t="shared" si="5"/>
        <v>Revidieren und Erweiterung der bestehenden Küchen</v>
      </c>
    </row>
    <row r="93" spans="1:6" ht="19.149999999999999" customHeight="1" x14ac:dyDescent="0.2">
      <c r="A93" s="368" t="s">
        <v>513</v>
      </c>
      <c r="B93" s="354"/>
      <c r="C93" s="363" t="s">
        <v>511</v>
      </c>
      <c r="D93" s="352"/>
      <c r="F93" s="229" t="str">
        <f t="shared" si="5"/>
        <v>Teeküchen</v>
      </c>
    </row>
    <row r="94" spans="1:6" ht="19.149999999999999" customHeight="1" x14ac:dyDescent="0.2">
      <c r="A94" s="368" t="s">
        <v>514</v>
      </c>
      <c r="B94" s="354"/>
      <c r="C94" s="368" t="s">
        <v>512</v>
      </c>
      <c r="D94" s="352"/>
      <c r="F94" s="229" t="str">
        <f t="shared" si="5"/>
        <v>Einfacher Standard</v>
      </c>
    </row>
    <row r="95" spans="1:6" ht="19.149999999999999" customHeight="1" x14ac:dyDescent="0.2">
      <c r="A95" s="369" t="s">
        <v>416</v>
      </c>
      <c r="B95" s="354"/>
      <c r="C95" s="368" t="s">
        <v>513</v>
      </c>
      <c r="D95" s="352"/>
      <c r="F95" s="229" t="str">
        <f t="shared" si="5"/>
        <v>Normaler Standard</v>
      </c>
    </row>
    <row r="96" spans="1:6" ht="19.149999999999999" customHeight="1" x14ac:dyDescent="0.2">
      <c r="A96" s="354" t="s">
        <v>416</v>
      </c>
      <c r="B96" s="354"/>
      <c r="C96" s="368" t="s">
        <v>514</v>
      </c>
      <c r="D96" s="352"/>
      <c r="F96" s="229" t="str">
        <f t="shared" si="5"/>
        <v>Gehobener Standard</v>
      </c>
    </row>
    <row r="97" spans="1:6" ht="19.149999999999999" customHeight="1" x14ac:dyDescent="0.2">
      <c r="A97" s="354"/>
      <c r="B97" s="354"/>
      <c r="C97" s="354"/>
      <c r="D97" s="352"/>
    </row>
    <row r="98" spans="1:6" ht="19.149999999999999" customHeight="1" x14ac:dyDescent="0.2">
      <c r="A98" s="377" t="s">
        <v>104</v>
      </c>
      <c r="B98" s="363"/>
      <c r="C98" s="377" t="s">
        <v>104</v>
      </c>
      <c r="D98" s="346"/>
      <c r="F98" s="379" t="str">
        <f>A98</f>
        <v>26 Transportanlagen</v>
      </c>
    </row>
    <row r="99" spans="1:6" ht="19.149999999999999" customHeight="1" x14ac:dyDescent="0.2">
      <c r="A99" s="376"/>
      <c r="B99" s="376"/>
      <c r="C99" s="376"/>
      <c r="D99" s="356"/>
    </row>
    <row r="100" spans="1:6" ht="19.149999999999999" customHeight="1" x14ac:dyDescent="0.2">
      <c r="A100" s="368" t="s">
        <v>533</v>
      </c>
      <c r="B100" s="354"/>
      <c r="C100" s="368" t="s">
        <v>419</v>
      </c>
      <c r="D100" s="351"/>
      <c r="F100" s="229" t="str">
        <f>IF(B8_04_1EING="Neubau",A100,IF(B8_04_1EING="Ersatz-Neubau",A100,C100))</f>
        <v>Revidieren der bestehenden Anlage</v>
      </c>
    </row>
    <row r="101" spans="1:6" ht="19.149999999999999" customHeight="1" x14ac:dyDescent="0.2">
      <c r="A101" s="368" t="s">
        <v>535</v>
      </c>
      <c r="B101" s="354"/>
      <c r="C101" s="368" t="s">
        <v>538</v>
      </c>
      <c r="D101" s="352"/>
      <c r="F101" s="229" t="str">
        <f>IF(B8_04_1EING="Neubau",A101,IF(B8_04_1EING="Ersatz-Neubau",A101,C101))</f>
        <v>Neue einfache Personenliftanlage (XXX Stück)</v>
      </c>
    </row>
    <row r="102" spans="1:6" ht="19.149999999999999" customHeight="1" x14ac:dyDescent="0.2">
      <c r="A102" s="368" t="s">
        <v>534</v>
      </c>
      <c r="B102" s="354"/>
      <c r="C102" s="368" t="s">
        <v>537</v>
      </c>
      <c r="D102" s="352"/>
      <c r="F102" s="229" t="str">
        <f>IF(B8_04_1EING="Neubau",A102,IF(B8_04_1EING="Ersatz-Neubau",A102,C102))</f>
        <v>Neue Personen- (XXX Stück) und Warenliftanlage (xxx Stück)</v>
      </c>
    </row>
    <row r="103" spans="1:6" ht="19.149999999999999" customHeight="1" x14ac:dyDescent="0.2">
      <c r="A103" s="368" t="s">
        <v>536</v>
      </c>
      <c r="B103" s="363"/>
      <c r="C103" s="368" t="s">
        <v>539</v>
      </c>
      <c r="D103" s="352"/>
      <c r="F103" s="229" t="str">
        <f>IF(B8_04_1EING="Neubau",A103,IF(B8_04_1EING="Ersatz-Neubau",A103,C103))</f>
        <v>Neue Personen- (XXX Stück) und Bettenliftanlage (XXX Stück)</v>
      </c>
    </row>
    <row r="104" spans="1:6" ht="19.149999999999999" customHeight="1" x14ac:dyDescent="0.2">
      <c r="A104" s="368" t="s">
        <v>416</v>
      </c>
      <c r="B104" s="363"/>
      <c r="C104" s="368" t="s">
        <v>540</v>
      </c>
      <c r="D104" s="352"/>
      <c r="F104" s="229" t="str">
        <f>IF(B8_04_1EING="Neubau",A104,IF(B8_04_1EING="Ersatz-Neubau",A104,C104))</f>
        <v>Neue Personen- (XXX Stück) und Feuerwehrlift (XXX Stück)</v>
      </c>
    </row>
    <row r="105" spans="1:6" ht="19.149999999999999" customHeight="1" x14ac:dyDescent="0.2">
      <c r="A105" s="368"/>
      <c r="B105" s="363"/>
      <c r="C105" s="368"/>
      <c r="D105" s="352"/>
    </row>
    <row r="106" spans="1:6" ht="19.149999999999999" customHeight="1" x14ac:dyDescent="0.2">
      <c r="A106" s="377" t="s">
        <v>105</v>
      </c>
      <c r="B106" s="363"/>
      <c r="C106" s="377" t="s">
        <v>105</v>
      </c>
      <c r="D106" s="352"/>
      <c r="F106" s="379" t="str">
        <f>A106</f>
        <v>27 Ausbau 1</v>
      </c>
    </row>
    <row r="107" spans="1:6" ht="19.149999999999999" customHeight="1" x14ac:dyDescent="0.2">
      <c r="A107" s="376"/>
      <c r="B107" s="376"/>
      <c r="C107" s="376"/>
      <c r="D107" s="356"/>
    </row>
    <row r="108" spans="1:6" ht="19.149999999999999" customHeight="1" x14ac:dyDescent="0.2">
      <c r="A108" s="368" t="s">
        <v>457</v>
      </c>
      <c r="B108" s="354"/>
      <c r="C108" s="368" t="s">
        <v>421</v>
      </c>
      <c r="D108" s="350"/>
      <c r="F108" s="229" t="str">
        <f>IF(B8_04_1EING="Neubau",A108,IF(B8_04_1EING="Ersatz-Neubau",A108,C108))</f>
        <v>Instandsetzung wie bestehend</v>
      </c>
    </row>
    <row r="109" spans="1:6" ht="19.149999999999999" customHeight="1" x14ac:dyDescent="0.2">
      <c r="A109" s="368" t="s">
        <v>458</v>
      </c>
      <c r="B109" s="354"/>
      <c r="C109" s="368" t="s">
        <v>485</v>
      </c>
      <c r="D109" s="350"/>
      <c r="F109" s="229" t="str">
        <f>IF(B8_04_1EING="Neubau",A109,IF(B8_04_1EING="Ersatz-Neubau",A109,C109))</f>
        <v>Instandsetzung und tw. neuer Ausbau</v>
      </c>
    </row>
    <row r="110" spans="1:6" ht="19.149999999999999" customHeight="1" x14ac:dyDescent="0.2">
      <c r="A110" s="368" t="s">
        <v>459</v>
      </c>
      <c r="B110" s="363"/>
      <c r="C110" s="368" t="s">
        <v>486</v>
      </c>
      <c r="D110" s="350"/>
      <c r="F110" s="229" t="str">
        <f>IF(B8_04_1EING="Neubau",A110,IF(B8_04_1EING="Ersatz-Neubau",A110,C110))</f>
        <v>Neuer Ausbau</v>
      </c>
    </row>
    <row r="111" spans="1:6" ht="19.149999999999999" customHeight="1" x14ac:dyDescent="0.2">
      <c r="A111" s="368" t="s">
        <v>489</v>
      </c>
      <c r="B111" s="363"/>
      <c r="C111" s="368" t="s">
        <v>487</v>
      </c>
      <c r="D111" s="350"/>
      <c r="F111" s="229" t="str">
        <f>IF(B8_04_1EING="Neubau",A111,IF(B8_04_1EING="Ersatz-Neubau",A111,C111))</f>
        <v>Neuer, anspruchsvoller Ausbau</v>
      </c>
    </row>
    <row r="112" spans="1:6" ht="19.149999999999999" customHeight="1" x14ac:dyDescent="0.2">
      <c r="A112" s="368" t="s">
        <v>490</v>
      </c>
      <c r="B112" s="363"/>
      <c r="C112" s="368" t="s">
        <v>488</v>
      </c>
      <c r="D112" s="352"/>
      <c r="F112" s="229" t="str">
        <f>IF(B8_04_1EING="Neubau",A112,IF(B8_04_1EING="Ersatz-Neubau",A112,C112))</f>
        <v>Neuer, anspruchsvoller Ausbau, div. Sicherheitsmassnahmen</v>
      </c>
    </row>
    <row r="113" spans="1:6" ht="19.149999999999999" customHeight="1" x14ac:dyDescent="0.2">
      <c r="A113" s="368"/>
      <c r="B113" s="363"/>
      <c r="C113" s="368"/>
      <c r="D113" s="352"/>
    </row>
    <row r="114" spans="1:6" ht="19.149999999999999" customHeight="1" x14ac:dyDescent="0.2">
      <c r="A114" s="377" t="s">
        <v>106</v>
      </c>
      <c r="B114" s="363"/>
      <c r="C114" s="377" t="s">
        <v>106</v>
      </c>
      <c r="D114" s="346"/>
      <c r="F114" s="379" t="str">
        <f>A114</f>
        <v>28 Ausbau 2</v>
      </c>
    </row>
    <row r="115" spans="1:6" ht="19.149999999999999" customHeight="1" x14ac:dyDescent="0.2">
      <c r="A115" s="376"/>
      <c r="B115" s="376"/>
      <c r="C115" s="376"/>
      <c r="D115" s="356"/>
    </row>
    <row r="116" spans="1:6" ht="19.149999999999999" customHeight="1" x14ac:dyDescent="0.2">
      <c r="A116" s="368" t="s">
        <v>491</v>
      </c>
      <c r="B116" s="354"/>
      <c r="C116" s="368" t="s">
        <v>493</v>
      </c>
      <c r="D116" s="350"/>
      <c r="F116" s="229" t="str">
        <f>IF(B8_04_1EING="Neubau",A116,IF(B8_04_1EING="Ersatz-Neubau",A116,C116))</f>
        <v>Oberflächen aufgefrischt</v>
      </c>
    </row>
    <row r="117" spans="1:6" ht="19.149999999999999" customHeight="1" x14ac:dyDescent="0.2">
      <c r="A117" s="368" t="s">
        <v>458</v>
      </c>
      <c r="B117" s="354"/>
      <c r="C117" s="368" t="s">
        <v>494</v>
      </c>
      <c r="D117" s="350"/>
      <c r="F117" s="229" t="str">
        <f>IF(B8_04_1EING="Neubau",A117,IF(B8_04_1EING="Ersatz-Neubau",A117,C117))</f>
        <v>Oberflächen tw. ersetzt</v>
      </c>
    </row>
    <row r="118" spans="1:6" ht="19.149999999999999" customHeight="1" x14ac:dyDescent="0.2">
      <c r="A118" s="368" t="s">
        <v>492</v>
      </c>
      <c r="B118" s="354"/>
      <c r="C118" s="368" t="s">
        <v>495</v>
      </c>
      <c r="D118" s="350"/>
      <c r="F118" s="229" t="str">
        <f>IF(B8_04_1EING="Neubau",A118,IF(B8_04_1EING="Ersatz-Neubau",A118,C118))</f>
        <v>Einfache Oberflächen neu</v>
      </c>
    </row>
    <row r="119" spans="1:6" ht="19.149999999999999" customHeight="1" x14ac:dyDescent="0.2">
      <c r="A119" s="368" t="s">
        <v>460</v>
      </c>
      <c r="B119" s="354"/>
      <c r="C119" s="368" t="s">
        <v>496</v>
      </c>
      <c r="D119" s="350"/>
      <c r="F119" s="229" t="str">
        <f>IF(B8_04_1EING="Neubau",A119,IF(B8_04_1EING="Ersatz-Neubau",A119,C119))</f>
        <v>Anspruchsvolle Oberflächen neu</v>
      </c>
    </row>
    <row r="120" spans="1:6" ht="19.149999999999999" customHeight="1" x14ac:dyDescent="0.2">
      <c r="A120" s="363" t="s">
        <v>416</v>
      </c>
      <c r="B120" s="354"/>
      <c r="C120" s="368" t="s">
        <v>497</v>
      </c>
      <c r="D120" s="350"/>
      <c r="F120" s="229" t="str">
        <f>IF(B8_04_1EING="Neubau",A120,IF(B8_04_1EING="Ersatz-Neubau",A120,C120))</f>
        <v>Komplexe und exklusive Oberflächen</v>
      </c>
    </row>
    <row r="121" spans="1:6" ht="19.149999999999999" customHeight="1" x14ac:dyDescent="0.2">
      <c r="A121" s="363"/>
      <c r="B121" s="354"/>
      <c r="C121" s="363"/>
      <c r="D121" s="346"/>
    </row>
    <row r="122" spans="1:6" ht="19.149999999999999" customHeight="1" x14ac:dyDescent="0.2">
      <c r="A122" s="377" t="s">
        <v>107</v>
      </c>
      <c r="B122" s="361"/>
      <c r="C122" s="377" t="s">
        <v>107</v>
      </c>
      <c r="D122" s="345"/>
      <c r="F122" s="379" t="str">
        <f>A122</f>
        <v>29 Honorare</v>
      </c>
    </row>
    <row r="123" spans="1:6" ht="19.149999999999999" customHeight="1" x14ac:dyDescent="0.2">
      <c r="A123" s="376"/>
      <c r="B123" s="376"/>
      <c r="C123" s="376"/>
      <c r="D123" s="356"/>
    </row>
    <row r="124" spans="1:6" ht="19.149999999999999" customHeight="1" x14ac:dyDescent="0.2">
      <c r="A124" s="368" t="s">
        <v>461</v>
      </c>
      <c r="B124" s="354"/>
      <c r="C124" s="368" t="s">
        <v>461</v>
      </c>
      <c r="D124" s="350"/>
      <c r="F124" s="229" t="str">
        <f t="shared" ref="F124:F131" si="6">IF(B8_04_1EING="Neubau",A124,IF(B8_04_1EING="Ersatz-Neubau",A124,C124))</f>
        <v>Bauleitungsbüro</v>
      </c>
    </row>
    <row r="125" spans="1:6" ht="19.149999999999999" customHeight="1" x14ac:dyDescent="0.2">
      <c r="A125" s="368" t="s">
        <v>422</v>
      </c>
      <c r="B125" s="354"/>
      <c r="C125" s="368" t="s">
        <v>422</v>
      </c>
      <c r="D125" s="350"/>
      <c r="F125" s="229" t="str">
        <f t="shared" si="6"/>
        <v>Architekt</v>
      </c>
    </row>
    <row r="126" spans="1:6" ht="19.149999999999999" customHeight="1" x14ac:dyDescent="0.2">
      <c r="A126" s="368" t="s">
        <v>423</v>
      </c>
      <c r="B126" s="354"/>
      <c r="C126" s="368" t="s">
        <v>423</v>
      </c>
      <c r="D126" s="350"/>
      <c r="F126" s="229" t="str">
        <f t="shared" si="6"/>
        <v>Architekt und Bauleitungsbüro</v>
      </c>
    </row>
    <row r="127" spans="1:6" ht="19.149999999999999" customHeight="1" x14ac:dyDescent="0.2">
      <c r="A127" s="368" t="s">
        <v>424</v>
      </c>
      <c r="B127" s="354"/>
      <c r="C127" s="368" t="s">
        <v>424</v>
      </c>
      <c r="D127" s="350"/>
      <c r="F127" s="229" t="str">
        <f t="shared" si="6"/>
        <v>Architekt und HLKS-Planer</v>
      </c>
    </row>
    <row r="128" spans="1:6" ht="19.149999999999999" customHeight="1" x14ac:dyDescent="0.2">
      <c r="A128" s="368" t="s">
        <v>425</v>
      </c>
      <c r="B128" s="354"/>
      <c r="C128" s="368" t="s">
        <v>425</v>
      </c>
      <c r="D128" s="350"/>
      <c r="F128" s="229" t="str">
        <f t="shared" si="6"/>
        <v>Architekt, Bauleitungsbüro und HLKS-Planer</v>
      </c>
    </row>
    <row r="129" spans="1:6" ht="19.149999999999999" customHeight="1" x14ac:dyDescent="0.2">
      <c r="A129" s="368" t="s">
        <v>426</v>
      </c>
      <c r="B129" s="363"/>
      <c r="C129" s="368" t="s">
        <v>426</v>
      </c>
      <c r="D129" s="350"/>
      <c r="F129" s="229" t="str">
        <f t="shared" si="6"/>
        <v>Architekt, Bauleitungsbüro, HLKS-Planer und weitere</v>
      </c>
    </row>
    <row r="130" spans="1:6" ht="19.149999999999999" customHeight="1" x14ac:dyDescent="0.2">
      <c r="A130" s="368" t="s">
        <v>462</v>
      </c>
      <c r="B130" s="363"/>
      <c r="C130" s="368" t="s">
        <v>462</v>
      </c>
      <c r="D130" s="350"/>
      <c r="F130" s="229" t="str">
        <f t="shared" si="6"/>
        <v>Generalplaner</v>
      </c>
    </row>
    <row r="131" spans="1:6" ht="19.149999999999999" customHeight="1" x14ac:dyDescent="0.2">
      <c r="A131" s="368" t="s">
        <v>463</v>
      </c>
      <c r="B131" s="363"/>
      <c r="C131" s="368" t="s">
        <v>463</v>
      </c>
      <c r="D131" s="350"/>
      <c r="F131" s="229" t="str">
        <f t="shared" si="6"/>
        <v>Totalunternehmer</v>
      </c>
    </row>
  </sheetData>
  <mergeCells count="1">
    <mergeCell ref="A12:B12"/>
  </mergeCells>
  <pageMargins left="0.7" right="0.7" top="0.78740157499999996" bottom="0.78740157499999996"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V134"/>
  <sheetViews>
    <sheetView showGridLines="0" showZeros="0" zoomScaleNormal="100" workbookViewId="0">
      <pane xSplit="6" ySplit="4" topLeftCell="G5" activePane="bottomRight" state="frozen"/>
      <selection activeCell="D5" sqref="D5:L5"/>
      <selection pane="topRight" activeCell="D5" sqref="D5:L5"/>
      <selection pane="bottomLeft" activeCell="D5" sqref="D5:L5"/>
      <selection pane="bottomRight" activeCell="D5" sqref="D5:L5"/>
    </sheetView>
  </sheetViews>
  <sheetFormatPr baseColWidth="10" defaultColWidth="11.42578125" defaultRowHeight="12" outlineLevelRow="1" outlineLevelCol="1" x14ac:dyDescent="0.2"/>
  <cols>
    <col min="1" max="1" width="1.5703125" style="242" customWidth="1"/>
    <col min="2" max="2" width="3.5703125" style="2" customWidth="1"/>
    <col min="3" max="3" width="35" style="2" customWidth="1"/>
    <col min="4" max="4" width="5.42578125" style="9" customWidth="1"/>
    <col min="5" max="5" width="7.140625" style="2" customWidth="1"/>
    <col min="6" max="6" width="5" style="2" customWidth="1"/>
    <col min="7" max="8" width="25.140625" style="2" hidden="1" customWidth="1" outlineLevel="1"/>
    <col min="9" max="9" width="25.140625" style="2" customWidth="1" outlineLevel="1"/>
    <col min="10" max="12" width="25.140625" style="2" customWidth="1"/>
    <col min="13" max="13" width="25.140625" style="238" customWidth="1"/>
    <col min="14" max="14" width="2.85546875" style="2" customWidth="1"/>
    <col min="15" max="15" width="68.7109375" style="2" hidden="1" customWidth="1" outlineLevel="1"/>
    <col min="16" max="16" width="2.85546875" style="2" hidden="1" customWidth="1" outlineLevel="1"/>
    <col min="17" max="17" width="67.7109375" style="2" hidden="1" customWidth="1" outlineLevel="1"/>
    <col min="18" max="18" width="2.85546875" style="2" hidden="1" customWidth="1" outlineLevel="1"/>
    <col min="19" max="19" width="41.140625" style="303" hidden="1" customWidth="1" outlineLevel="1"/>
    <col min="20" max="20" width="2.85546875" style="2" hidden="1" customWidth="1" outlineLevel="1"/>
    <col min="21" max="21" width="40.28515625" style="240" hidden="1" customWidth="1" outlineLevel="1"/>
    <col min="22" max="22" width="9.85546875" style="240" customWidth="1" collapsed="1"/>
    <col min="23" max="23" width="9.85546875" style="240" customWidth="1"/>
    <col min="24" max="16384" width="11.42578125" style="240"/>
  </cols>
  <sheetData>
    <row r="1" spans="1:21" ht="11.25" customHeight="1" x14ac:dyDescent="0.2">
      <c r="A1" s="242" t="s">
        <v>624</v>
      </c>
      <c r="B1" s="3" t="s">
        <v>331</v>
      </c>
      <c r="G1" s="150" t="s">
        <v>137</v>
      </c>
      <c r="H1" s="151"/>
      <c r="I1" s="308" t="s">
        <v>285</v>
      </c>
      <c r="J1" s="155" t="s">
        <v>57</v>
      </c>
      <c r="K1" s="155" t="s">
        <v>57</v>
      </c>
      <c r="L1" s="155" t="s">
        <v>58</v>
      </c>
      <c r="M1" s="232" t="s">
        <v>708</v>
      </c>
    </row>
    <row r="2" spans="1:21" ht="11.25" customHeight="1" x14ac:dyDescent="0.2">
      <c r="B2" s="386" t="s">
        <v>818</v>
      </c>
      <c r="G2" s="940" t="s">
        <v>56</v>
      </c>
      <c r="H2" s="156" t="s">
        <v>55</v>
      </c>
      <c r="I2" s="309" t="s">
        <v>286</v>
      </c>
      <c r="J2" s="149" t="s">
        <v>706</v>
      </c>
      <c r="K2" s="149" t="s">
        <v>97</v>
      </c>
      <c r="L2" s="149" t="s">
        <v>98</v>
      </c>
      <c r="M2" s="233" t="s">
        <v>140</v>
      </c>
      <c r="O2" s="2" t="s">
        <v>113</v>
      </c>
      <c r="Q2" s="2" t="s">
        <v>114</v>
      </c>
      <c r="S2" s="303" t="s">
        <v>227</v>
      </c>
      <c r="U2" s="306" t="s">
        <v>115</v>
      </c>
    </row>
    <row r="3" spans="1:21" ht="11.25" customHeight="1" x14ac:dyDescent="0.2">
      <c r="E3" s="147"/>
      <c r="F3" s="147" t="s">
        <v>141</v>
      </c>
      <c r="G3" s="903"/>
      <c r="H3" s="904"/>
      <c r="I3" s="904"/>
      <c r="J3" s="904"/>
      <c r="K3" s="904"/>
      <c r="L3" s="904"/>
      <c r="M3" s="905"/>
    </row>
    <row r="4" spans="1:21" ht="11.25" customHeight="1" x14ac:dyDescent="0.2">
      <c r="B4" s="969" t="s">
        <v>180</v>
      </c>
      <c r="C4" s="970"/>
      <c r="D4" s="970"/>
      <c r="E4" s="970"/>
      <c r="F4" s="971"/>
      <c r="G4" s="950"/>
      <c r="H4" s="951"/>
      <c r="I4" s="951"/>
      <c r="J4" s="951"/>
      <c r="K4" s="951"/>
      <c r="L4" s="951"/>
      <c r="M4" s="952"/>
    </row>
    <row r="5" spans="1:21" ht="11.25" customHeight="1" x14ac:dyDescent="0.2">
      <c r="B5" s="142" t="s">
        <v>151</v>
      </c>
      <c r="C5" s="143"/>
      <c r="D5" s="89"/>
      <c r="E5" s="17" t="s">
        <v>99</v>
      </c>
      <c r="F5" s="17"/>
      <c r="G5" s="906"/>
      <c r="H5" s="906"/>
      <c r="I5" s="906"/>
      <c r="J5" s="906"/>
      <c r="K5" s="906"/>
      <c r="L5" s="906"/>
      <c r="M5" s="907"/>
    </row>
    <row r="6" spans="1:21" ht="11.25" customHeight="1" x14ac:dyDescent="0.2">
      <c r="B6" s="144" t="s">
        <v>68</v>
      </c>
      <c r="C6" s="145"/>
      <c r="D6" s="38"/>
      <c r="E6" s="4" t="s">
        <v>99</v>
      </c>
      <c r="F6" s="4"/>
      <c r="G6" s="901"/>
      <c r="H6" s="901"/>
      <c r="I6" s="901"/>
      <c r="J6" s="901"/>
      <c r="K6" s="901"/>
      <c r="L6" s="901"/>
      <c r="M6" s="902"/>
      <c r="O6" s="387" t="s">
        <v>591</v>
      </c>
      <c r="Q6" s="387" t="s">
        <v>591</v>
      </c>
      <c r="S6" s="387" t="s">
        <v>591</v>
      </c>
      <c r="U6" s="387" t="s">
        <v>591</v>
      </c>
    </row>
    <row r="7" spans="1:21" ht="11.25" customHeight="1" x14ac:dyDescent="0.2">
      <c r="B7" s="144" t="s">
        <v>59</v>
      </c>
      <c r="C7" s="145"/>
      <c r="D7" s="38"/>
      <c r="E7" s="4" t="s">
        <v>99</v>
      </c>
      <c r="F7" s="4"/>
      <c r="G7" s="901"/>
      <c r="H7" s="901"/>
      <c r="I7" s="901"/>
      <c r="J7" s="901"/>
      <c r="K7" s="901"/>
      <c r="L7" s="901"/>
      <c r="M7" s="902"/>
      <c r="O7" s="394"/>
      <c r="Q7" s="394"/>
      <c r="S7" s="394"/>
      <c r="U7" s="393"/>
    </row>
    <row r="8" spans="1:21" ht="11.25" customHeight="1" x14ac:dyDescent="0.2">
      <c r="B8" s="21" t="s">
        <v>67</v>
      </c>
      <c r="C8" s="32"/>
      <c r="D8" s="38"/>
      <c r="E8" s="4" t="s">
        <v>110</v>
      </c>
      <c r="F8" s="4"/>
      <c r="G8" s="311"/>
      <c r="H8" s="312"/>
      <c r="I8" s="312"/>
      <c r="J8" s="899"/>
      <c r="K8" s="899"/>
      <c r="L8" s="899"/>
      <c r="M8" s="900"/>
      <c r="O8" s="392" t="s">
        <v>116</v>
      </c>
      <c r="Q8" s="392" t="s">
        <v>595</v>
      </c>
      <c r="S8" s="394" t="s">
        <v>579</v>
      </c>
      <c r="U8" s="393" t="str">
        <f>"2004 / "&amp;B8_04_INDEX2004</f>
        <v>2004 / 107.6</v>
      </c>
    </row>
    <row r="9" spans="1:21" ht="11.25" customHeight="1" x14ac:dyDescent="0.2">
      <c r="B9" s="21" t="s">
        <v>43</v>
      </c>
      <c r="C9" s="32"/>
      <c r="D9" s="38"/>
      <c r="E9" s="4" t="s">
        <v>110</v>
      </c>
      <c r="F9" s="4"/>
      <c r="G9" s="312"/>
      <c r="H9" s="312"/>
      <c r="I9" s="312"/>
      <c r="J9" s="899"/>
      <c r="K9" s="899"/>
      <c r="L9" s="899"/>
      <c r="M9" s="900"/>
      <c r="O9" s="392" t="s">
        <v>417</v>
      </c>
      <c r="Q9" s="392" t="s">
        <v>605</v>
      </c>
      <c r="S9" s="394" t="s">
        <v>136</v>
      </c>
      <c r="U9" s="393" t="str">
        <f>"2005 / "&amp;B8_04_INDEX2005</f>
        <v>2005 / 110.2</v>
      </c>
    </row>
    <row r="10" spans="1:21" ht="11.25" customHeight="1" x14ac:dyDescent="0.2">
      <c r="B10" s="21" t="s">
        <v>70</v>
      </c>
      <c r="C10" s="32"/>
      <c r="D10" s="38"/>
      <c r="E10" s="4" t="s">
        <v>110</v>
      </c>
      <c r="F10" s="4"/>
      <c r="G10" s="899"/>
      <c r="H10" s="899"/>
      <c r="I10" s="899"/>
      <c r="J10" s="899"/>
      <c r="K10" s="899"/>
      <c r="L10" s="899"/>
      <c r="M10" s="900"/>
      <c r="O10" s="392" t="s">
        <v>736</v>
      </c>
      <c r="Q10" s="392" t="s">
        <v>607</v>
      </c>
      <c r="S10" s="394" t="s">
        <v>585</v>
      </c>
      <c r="U10" s="393" t="str">
        <f>"2006 / "&amp;B8_04_INDEX2006</f>
        <v>2006 / 111.9</v>
      </c>
    </row>
    <row r="11" spans="1:21" ht="11.25" customHeight="1" x14ac:dyDescent="0.2">
      <c r="B11" s="965" t="s">
        <v>554</v>
      </c>
      <c r="C11" s="966"/>
      <c r="D11" s="967"/>
      <c r="E11" s="4" t="s">
        <v>176</v>
      </c>
      <c r="F11" s="4"/>
      <c r="G11" s="901"/>
      <c r="H11" s="901"/>
      <c r="I11" s="901"/>
      <c r="J11" s="901"/>
      <c r="K11" s="901"/>
      <c r="L11" s="901"/>
      <c r="M11" s="902"/>
      <c r="O11" s="392" t="s">
        <v>599</v>
      </c>
      <c r="Q11" s="392" t="s">
        <v>606</v>
      </c>
      <c r="S11" s="394" t="s">
        <v>587</v>
      </c>
      <c r="U11" s="393" t="str">
        <f>"2007 / "&amp;B8_04_INDEX2007</f>
        <v>2007 / 117</v>
      </c>
    </row>
    <row r="12" spans="1:21" ht="11.25" hidden="1" customHeight="1" x14ac:dyDescent="0.2">
      <c r="B12" s="22" t="s">
        <v>334</v>
      </c>
      <c r="C12" s="90"/>
      <c r="D12" s="91"/>
      <c r="E12" s="18"/>
      <c r="F12" s="18"/>
      <c r="G12" s="172"/>
      <c r="H12" s="172"/>
      <c r="I12" s="172"/>
      <c r="J12" s="172"/>
      <c r="K12" s="172"/>
      <c r="L12" s="172"/>
      <c r="M12" s="234"/>
      <c r="O12" s="392" t="s">
        <v>600</v>
      </c>
      <c r="Q12" s="392" t="s">
        <v>608</v>
      </c>
      <c r="S12" s="394" t="s">
        <v>586</v>
      </c>
      <c r="U12" s="393" t="str">
        <f>"2008 / "&amp;B8_04_INDEX2008</f>
        <v>2008 / 121.7</v>
      </c>
    </row>
    <row r="13" spans="1:21" ht="11.25" customHeight="1" x14ac:dyDescent="0.2">
      <c r="B13" s="20" t="s">
        <v>0</v>
      </c>
      <c r="C13" s="92" t="s">
        <v>95</v>
      </c>
      <c r="D13" s="89"/>
      <c r="E13" s="17"/>
      <c r="F13" s="17" t="s">
        <v>2</v>
      </c>
      <c r="G13" s="17" t="s">
        <v>3</v>
      </c>
      <c r="H13" s="17" t="s">
        <v>3</v>
      </c>
      <c r="I13" s="17" t="s">
        <v>3</v>
      </c>
      <c r="J13" s="17" t="s">
        <v>3</v>
      </c>
      <c r="K13" s="17" t="s">
        <v>3</v>
      </c>
      <c r="L13" s="17" t="s">
        <v>3</v>
      </c>
      <c r="M13" s="235" t="s">
        <v>3</v>
      </c>
      <c r="O13" s="392" t="s">
        <v>592</v>
      </c>
      <c r="Q13" s="392" t="s">
        <v>609</v>
      </c>
      <c r="S13" s="394" t="s">
        <v>145</v>
      </c>
      <c r="U13" s="393" t="str">
        <f>"2009 / "&amp;B8_04_INDEX2009</f>
        <v>2009 / 122.2</v>
      </c>
    </row>
    <row r="14" spans="1:21" ht="11.25" customHeight="1" x14ac:dyDescent="0.2">
      <c r="B14" s="21" t="s">
        <v>62</v>
      </c>
      <c r="C14" s="32"/>
      <c r="D14" s="38"/>
      <c r="E14" s="27"/>
      <c r="F14" s="27"/>
      <c r="G14" s="27"/>
      <c r="H14" s="27"/>
      <c r="I14" s="27"/>
      <c r="J14" s="27"/>
      <c r="K14" s="27"/>
      <c r="L14" s="27"/>
      <c r="M14" s="236"/>
      <c r="O14" s="392" t="s">
        <v>593</v>
      </c>
      <c r="Q14" s="392" t="s">
        <v>610</v>
      </c>
      <c r="S14" s="394" t="s">
        <v>126</v>
      </c>
      <c r="U14" s="393" t="str">
        <f>"2010 / "&amp;B8_04_INDEX2010</f>
        <v>2010 / 123.6</v>
      </c>
    </row>
    <row r="15" spans="1:21" ht="11.25" customHeight="1" x14ac:dyDescent="0.2">
      <c r="B15" s="21"/>
      <c r="C15" s="5" t="s">
        <v>16</v>
      </c>
      <c r="D15" s="28"/>
      <c r="E15" s="4" t="s">
        <v>17</v>
      </c>
      <c r="F15" s="4" t="s">
        <v>7</v>
      </c>
      <c r="G15" s="908">
        <f t="shared" ref="G15:M15" si="0">SUM(G16:G21)</f>
        <v>0</v>
      </c>
      <c r="H15" s="908">
        <f t="shared" si="0"/>
        <v>0</v>
      </c>
      <c r="I15" s="908">
        <f>SUM(I16:I21)</f>
        <v>0</v>
      </c>
      <c r="J15" s="908">
        <f t="shared" si="0"/>
        <v>0</v>
      </c>
      <c r="K15" s="908">
        <f t="shared" si="0"/>
        <v>0</v>
      </c>
      <c r="L15" s="908">
        <f t="shared" si="0"/>
        <v>0</v>
      </c>
      <c r="M15" s="909">
        <f t="shared" si="0"/>
        <v>0</v>
      </c>
      <c r="O15" s="392" t="s">
        <v>612</v>
      </c>
      <c r="Q15" s="392" t="s">
        <v>613</v>
      </c>
      <c r="S15" s="394" t="s">
        <v>588</v>
      </c>
      <c r="U15" s="393" t="str">
        <f>"2011 / "&amp;B8_04_INDEX2011</f>
        <v>2011 / 125.6</v>
      </c>
    </row>
    <row r="16" spans="1:21" ht="11.25" customHeight="1" x14ac:dyDescent="0.2">
      <c r="B16" s="21"/>
      <c r="C16" s="32" t="s">
        <v>69</v>
      </c>
      <c r="D16" s="38"/>
      <c r="E16" s="4" t="s">
        <v>37</v>
      </c>
      <c r="F16" s="4" t="s">
        <v>7</v>
      </c>
      <c r="G16" s="886"/>
      <c r="H16" s="886"/>
      <c r="I16" s="886"/>
      <c r="J16" s="886"/>
      <c r="K16" s="886"/>
      <c r="L16" s="886"/>
      <c r="M16" s="887"/>
      <c r="O16" s="392" t="s">
        <v>761</v>
      </c>
      <c r="Q16" s="392" t="s">
        <v>614</v>
      </c>
      <c r="S16" s="394" t="s">
        <v>616</v>
      </c>
      <c r="U16" s="393" t="str">
        <f>"2012 / "&amp;B8_04_INDEX2012</f>
        <v>2012 / 126.5</v>
      </c>
    </row>
    <row r="17" spans="2:21" ht="11.25" customHeight="1" x14ac:dyDescent="0.2">
      <c r="B17" s="21"/>
      <c r="C17" s="32" t="s">
        <v>63</v>
      </c>
      <c r="D17" s="38"/>
      <c r="E17" s="4" t="s">
        <v>38</v>
      </c>
      <c r="F17" s="4" t="s">
        <v>7</v>
      </c>
      <c r="G17" s="886"/>
      <c r="H17" s="886"/>
      <c r="I17" s="886"/>
      <c r="J17" s="886"/>
      <c r="K17" s="886"/>
      <c r="L17" s="886"/>
      <c r="M17" s="887"/>
      <c r="O17" s="392" t="s">
        <v>611</v>
      </c>
      <c r="Q17" s="392" t="s">
        <v>615</v>
      </c>
      <c r="S17" s="394" t="s">
        <v>365</v>
      </c>
      <c r="U17" s="393" t="str">
        <f>"2013 / "&amp;B8_04_INDEX2013</f>
        <v>2013 / 125.7</v>
      </c>
    </row>
    <row r="18" spans="2:21" ht="11.25" customHeight="1" x14ac:dyDescent="0.2">
      <c r="B18" s="21"/>
      <c r="C18" s="32" t="s">
        <v>335</v>
      </c>
      <c r="D18" s="38"/>
      <c r="E18" s="4" t="s">
        <v>39</v>
      </c>
      <c r="F18" s="4" t="s">
        <v>7</v>
      </c>
      <c r="G18" s="886"/>
      <c r="H18" s="886"/>
      <c r="I18" s="886"/>
      <c r="J18" s="886"/>
      <c r="K18" s="886"/>
      <c r="L18" s="886"/>
      <c r="M18" s="887"/>
      <c r="O18" s="392" t="s">
        <v>117</v>
      </c>
      <c r="Q18" s="392"/>
      <c r="S18" s="394" t="s">
        <v>735</v>
      </c>
      <c r="U18" s="393" t="str">
        <f>"2014 / "&amp;B8_04_INDEX2014</f>
        <v>2014 / 126.3</v>
      </c>
    </row>
    <row r="19" spans="2:21" ht="11.25" customHeight="1" x14ac:dyDescent="0.2">
      <c r="B19" s="21"/>
      <c r="C19" s="32" t="s">
        <v>696</v>
      </c>
      <c r="D19" s="38"/>
      <c r="E19" s="4" t="s">
        <v>40</v>
      </c>
      <c r="F19" s="4" t="s">
        <v>7</v>
      </c>
      <c r="G19" s="886"/>
      <c r="H19" s="886"/>
      <c r="I19" s="886"/>
      <c r="J19" s="886"/>
      <c r="K19" s="886"/>
      <c r="L19" s="886"/>
      <c r="M19" s="887"/>
      <c r="O19" s="392" t="s">
        <v>812</v>
      </c>
      <c r="Q19" s="392"/>
      <c r="S19" s="394" t="s">
        <v>150</v>
      </c>
      <c r="U19" s="393" t="str">
        <f>"2015 / "&amp;B8_04_INDEX2015</f>
        <v>2015 / 124.8</v>
      </c>
    </row>
    <row r="20" spans="2:21" ht="11.25" customHeight="1" x14ac:dyDescent="0.2">
      <c r="B20" s="21"/>
      <c r="C20" s="32" t="s">
        <v>64</v>
      </c>
      <c r="D20" s="38"/>
      <c r="E20" s="4" t="s">
        <v>41</v>
      </c>
      <c r="F20" s="4" t="s">
        <v>7</v>
      </c>
      <c r="G20" s="886"/>
      <c r="H20" s="886"/>
      <c r="I20" s="886"/>
      <c r="J20" s="886"/>
      <c r="K20" s="886"/>
      <c r="L20" s="886"/>
      <c r="M20" s="887"/>
      <c r="O20" s="392" t="s">
        <v>118</v>
      </c>
      <c r="Q20" s="392"/>
      <c r="S20" s="394" t="s">
        <v>620</v>
      </c>
      <c r="U20" s="393" t="str">
        <f>"2016 / "&amp;B8_04_INDEX2016</f>
        <v>2016 / 122.6</v>
      </c>
    </row>
    <row r="21" spans="2:21" ht="11.25" customHeight="1" x14ac:dyDescent="0.2">
      <c r="B21" s="21"/>
      <c r="C21" s="32" t="s">
        <v>697</v>
      </c>
      <c r="D21" s="38"/>
      <c r="E21" s="4" t="s">
        <v>42</v>
      </c>
      <c r="F21" s="4" t="s">
        <v>7</v>
      </c>
      <c r="G21" s="886"/>
      <c r="H21" s="886"/>
      <c r="I21" s="886"/>
      <c r="J21" s="886"/>
      <c r="K21" s="886"/>
      <c r="L21" s="886"/>
      <c r="M21" s="887"/>
      <c r="O21" s="392"/>
      <c r="Q21" s="392"/>
      <c r="S21" s="394" t="s">
        <v>119</v>
      </c>
      <c r="U21" s="393" t="str">
        <f>"2017 / "&amp;B8_04_INDEX2017</f>
        <v>2017 / 122.6</v>
      </c>
    </row>
    <row r="22" spans="2:21" ht="11.25" customHeight="1" x14ac:dyDescent="0.2">
      <c r="B22" s="965" t="s">
        <v>804</v>
      </c>
      <c r="C22" s="966"/>
      <c r="D22" s="967"/>
      <c r="E22" s="4"/>
      <c r="F22" s="4"/>
      <c r="G22" s="886"/>
      <c r="H22" s="886"/>
      <c r="I22" s="886"/>
      <c r="J22" s="886"/>
      <c r="K22" s="886"/>
      <c r="L22" s="886"/>
      <c r="M22" s="887"/>
      <c r="O22" s="392"/>
      <c r="Q22" s="389"/>
      <c r="S22" s="394" t="s">
        <v>120</v>
      </c>
      <c r="U22" s="393" t="str">
        <f>"2018 / "&amp;B8_04_INDEX2018</f>
        <v>2018 / 122.9</v>
      </c>
    </row>
    <row r="23" spans="2:21" ht="11.25" customHeight="1" x14ac:dyDescent="0.2">
      <c r="B23" s="21"/>
      <c r="C23" s="5" t="s">
        <v>760</v>
      </c>
      <c r="D23" s="938"/>
      <c r="E23" s="4" t="s">
        <v>574</v>
      </c>
      <c r="F23" s="4" t="s">
        <v>4</v>
      </c>
      <c r="G23" s="897"/>
      <c r="H23" s="897"/>
      <c r="I23" s="897"/>
      <c r="J23" s="897"/>
      <c r="K23" s="897"/>
      <c r="L23" s="897"/>
      <c r="M23" s="898"/>
      <c r="O23" s="391"/>
      <c r="S23" s="394" t="s">
        <v>582</v>
      </c>
      <c r="U23" s="396" t="str">
        <f>"2019 / "&amp;B8_04_INDEX2019</f>
        <v>2019 / 124</v>
      </c>
    </row>
    <row r="24" spans="2:21" ht="11.25" customHeight="1" x14ac:dyDescent="0.2">
      <c r="B24" s="21"/>
      <c r="C24" s="5" t="s">
        <v>807</v>
      </c>
      <c r="D24" s="938" t="s">
        <v>806</v>
      </c>
      <c r="E24" s="4" t="s">
        <v>575</v>
      </c>
      <c r="F24" s="4" t="s">
        <v>7</v>
      </c>
      <c r="G24" s="897"/>
      <c r="H24" s="897"/>
      <c r="I24" s="897"/>
      <c r="J24" s="897"/>
      <c r="K24" s="897"/>
      <c r="L24" s="897"/>
      <c r="M24" s="898"/>
      <c r="O24" s="391"/>
      <c r="S24" s="394" t="s">
        <v>121</v>
      </c>
      <c r="U24" s="396" t="str">
        <f>"2020 / "&amp;B8_04_INDEX2020</f>
        <v>2020 / 123.9</v>
      </c>
    </row>
    <row r="25" spans="2:21" ht="11.25" customHeight="1" x14ac:dyDescent="0.2">
      <c r="B25" s="21"/>
      <c r="C25" s="5" t="s">
        <v>807</v>
      </c>
      <c r="D25" s="939" t="s">
        <v>17</v>
      </c>
      <c r="E25" s="4" t="s">
        <v>575</v>
      </c>
      <c r="F25" s="4" t="s">
        <v>7</v>
      </c>
      <c r="G25" s="897"/>
      <c r="H25" s="897"/>
      <c r="I25" s="897"/>
      <c r="J25" s="897"/>
      <c r="K25" s="897"/>
      <c r="L25" s="897"/>
      <c r="M25" s="898"/>
      <c r="O25" s="390"/>
      <c r="S25" s="394" t="s">
        <v>132</v>
      </c>
      <c r="U25" s="396" t="str">
        <f>"2021 / "&amp;B8_04_INDEX2021</f>
        <v>2021 / 125.3</v>
      </c>
    </row>
    <row r="26" spans="2:21" ht="11.25" customHeight="1" x14ac:dyDescent="0.2">
      <c r="B26" s="21"/>
      <c r="C26" s="5" t="s">
        <v>805</v>
      </c>
      <c r="D26" s="938" t="s">
        <v>806</v>
      </c>
      <c r="E26" s="4" t="s">
        <v>634</v>
      </c>
      <c r="F26" s="4" t="s">
        <v>7</v>
      </c>
      <c r="G26" s="897"/>
      <c r="H26" s="897"/>
      <c r="I26" s="897"/>
      <c r="J26" s="897"/>
      <c r="K26" s="897"/>
      <c r="L26" s="897"/>
      <c r="M26" s="898"/>
      <c r="O26" s="390"/>
      <c r="S26" s="394" t="s">
        <v>617</v>
      </c>
      <c r="U26" s="396" t="str">
        <f>"2022 / "&amp;B8_04_INDEX2022</f>
        <v>2022 / 133.7</v>
      </c>
    </row>
    <row r="27" spans="2:21" ht="11.25" customHeight="1" x14ac:dyDescent="0.2">
      <c r="B27" s="21"/>
      <c r="C27" s="5" t="s">
        <v>805</v>
      </c>
      <c r="D27" s="939" t="s">
        <v>17</v>
      </c>
      <c r="E27" s="4" t="s">
        <v>634</v>
      </c>
      <c r="F27" s="4" t="s">
        <v>7</v>
      </c>
      <c r="G27" s="897"/>
      <c r="H27" s="897"/>
      <c r="I27" s="897"/>
      <c r="J27" s="897"/>
      <c r="K27" s="897"/>
      <c r="L27" s="897"/>
      <c r="M27" s="898"/>
      <c r="O27" s="390"/>
      <c r="S27" s="394" t="s">
        <v>148</v>
      </c>
      <c r="U27" s="396"/>
    </row>
    <row r="28" spans="2:21" ht="11.25" customHeight="1" x14ac:dyDescent="0.2">
      <c r="B28" s="21"/>
      <c r="C28" s="5" t="s">
        <v>808</v>
      </c>
      <c r="D28" s="938" t="s">
        <v>806</v>
      </c>
      <c r="E28" s="4" t="s">
        <v>635</v>
      </c>
      <c r="F28" s="4" t="s">
        <v>7</v>
      </c>
      <c r="G28" s="897"/>
      <c r="H28" s="897"/>
      <c r="I28" s="897"/>
      <c r="J28" s="897"/>
      <c r="K28" s="897"/>
      <c r="L28" s="897"/>
      <c r="M28" s="898"/>
      <c r="O28" s="390"/>
      <c r="S28" s="394" t="s">
        <v>580</v>
      </c>
      <c r="U28" s="396"/>
    </row>
    <row r="29" spans="2:21" ht="11.25" customHeight="1" x14ac:dyDescent="0.2">
      <c r="B29" s="21"/>
      <c r="C29" s="5" t="s">
        <v>808</v>
      </c>
      <c r="D29" s="274" t="s">
        <v>17</v>
      </c>
      <c r="E29" s="4" t="s">
        <v>635</v>
      </c>
      <c r="F29" s="4" t="s">
        <v>7</v>
      </c>
      <c r="G29" s="897"/>
      <c r="H29" s="897"/>
      <c r="I29" s="897"/>
      <c r="J29" s="897"/>
      <c r="K29" s="897"/>
      <c r="L29" s="897"/>
      <c r="M29" s="898"/>
      <c r="O29" s="390"/>
      <c r="S29" s="394" t="s">
        <v>619</v>
      </c>
      <c r="U29" s="396"/>
    </row>
    <row r="30" spans="2:21" ht="11.25" customHeight="1" x14ac:dyDescent="0.2">
      <c r="B30" s="21" t="s">
        <v>124</v>
      </c>
      <c r="C30" s="32"/>
      <c r="D30" s="88"/>
      <c r="E30" s="4"/>
      <c r="F30" s="4"/>
      <c r="G30" s="4"/>
      <c r="H30" s="4"/>
      <c r="I30" s="4"/>
      <c r="J30" s="4"/>
      <c r="K30" s="4"/>
      <c r="L30" s="4"/>
      <c r="M30" s="237"/>
      <c r="O30" s="390"/>
      <c r="Q30" s="389"/>
      <c r="S30" s="394" t="s">
        <v>584</v>
      </c>
      <c r="U30" s="396"/>
    </row>
    <row r="31" spans="2:21" ht="11.25" customHeight="1" x14ac:dyDescent="0.2">
      <c r="B31" s="21"/>
      <c r="C31" s="5" t="s">
        <v>212</v>
      </c>
      <c r="D31" s="28"/>
      <c r="E31" s="4" t="s">
        <v>14</v>
      </c>
      <c r="F31" s="4" t="s">
        <v>7</v>
      </c>
      <c r="G31" s="908">
        <f t="shared" ref="G31:M31" si="1">SUM(G32:G33)</f>
        <v>0</v>
      </c>
      <c r="H31" s="908">
        <f t="shared" si="1"/>
        <v>0</v>
      </c>
      <c r="I31" s="908">
        <f t="shared" si="1"/>
        <v>0</v>
      </c>
      <c r="J31" s="908">
        <f t="shared" si="1"/>
        <v>0</v>
      </c>
      <c r="K31" s="908">
        <f t="shared" si="1"/>
        <v>0</v>
      </c>
      <c r="L31" s="908">
        <f t="shared" si="1"/>
        <v>0</v>
      </c>
      <c r="M31" s="909">
        <f t="shared" si="1"/>
        <v>0</v>
      </c>
      <c r="O31" s="390"/>
      <c r="Q31" s="389"/>
      <c r="S31" s="394" t="s">
        <v>122</v>
      </c>
      <c r="U31" s="396"/>
    </row>
    <row r="32" spans="2:21" ht="11.25" customHeight="1" x14ac:dyDescent="0.2">
      <c r="B32" s="21"/>
      <c r="C32" s="968" t="s">
        <v>211</v>
      </c>
      <c r="D32" s="958"/>
      <c r="E32" s="4" t="s">
        <v>14</v>
      </c>
      <c r="F32" s="4" t="s">
        <v>7</v>
      </c>
      <c r="G32" s="886"/>
      <c r="H32" s="886"/>
      <c r="I32" s="886"/>
      <c r="J32" s="886"/>
      <c r="K32" s="886"/>
      <c r="L32" s="886"/>
      <c r="M32" s="887"/>
      <c r="O32" s="390"/>
      <c r="Q32" s="389"/>
      <c r="S32" s="394" t="s">
        <v>583</v>
      </c>
      <c r="U32" s="396"/>
    </row>
    <row r="33" spans="2:21" ht="11.25" customHeight="1" x14ac:dyDescent="0.2">
      <c r="B33" s="21"/>
      <c r="C33" s="5" t="s">
        <v>213</v>
      </c>
      <c r="D33" s="28"/>
      <c r="E33" s="4" t="s">
        <v>14</v>
      </c>
      <c r="F33" s="4" t="s">
        <v>7</v>
      </c>
      <c r="G33" s="886"/>
      <c r="H33" s="886"/>
      <c r="I33" s="886"/>
      <c r="J33" s="886"/>
      <c r="K33" s="886"/>
      <c r="L33" s="886"/>
      <c r="M33" s="887"/>
      <c r="O33" s="390"/>
      <c r="Q33" s="389"/>
      <c r="S33" s="394" t="s">
        <v>589</v>
      </c>
      <c r="U33" s="396"/>
    </row>
    <row r="34" spans="2:21" ht="11.25" customHeight="1" x14ac:dyDescent="0.2">
      <c r="B34" s="21"/>
      <c r="C34" s="968" t="s">
        <v>336</v>
      </c>
      <c r="D34" s="958"/>
      <c r="E34" s="4" t="s">
        <v>14</v>
      </c>
      <c r="F34" s="4" t="s">
        <v>7</v>
      </c>
      <c r="G34" s="886"/>
      <c r="H34" s="886"/>
      <c r="I34" s="886"/>
      <c r="J34" s="886"/>
      <c r="K34" s="886"/>
      <c r="L34" s="886"/>
      <c r="M34" s="887"/>
      <c r="O34" s="390"/>
      <c r="Q34" s="389"/>
      <c r="S34" s="394" t="s">
        <v>583</v>
      </c>
      <c r="U34" s="396"/>
    </row>
    <row r="35" spans="2:21" ht="11.25" customHeight="1" x14ac:dyDescent="0.2">
      <c r="B35" s="21"/>
      <c r="C35" s="5" t="s">
        <v>10</v>
      </c>
      <c r="D35" s="28"/>
      <c r="E35" s="4" t="s">
        <v>11</v>
      </c>
      <c r="F35" s="4" t="s">
        <v>12</v>
      </c>
      <c r="G35" s="886"/>
      <c r="H35" s="886"/>
      <c r="I35" s="886"/>
      <c r="J35" s="886"/>
      <c r="K35" s="886"/>
      <c r="L35" s="886"/>
      <c r="M35" s="887"/>
      <c r="O35" s="390"/>
      <c r="Q35" s="389"/>
      <c r="S35" s="394" t="s">
        <v>147</v>
      </c>
      <c r="U35" s="396"/>
    </row>
    <row r="36" spans="2:21" ht="11.25" customHeight="1" x14ac:dyDescent="0.2">
      <c r="B36" s="21"/>
      <c r="C36" s="5" t="s">
        <v>5</v>
      </c>
      <c r="D36" s="28"/>
      <c r="E36" s="4" t="s">
        <v>6</v>
      </c>
      <c r="F36" s="4" t="s">
        <v>7</v>
      </c>
      <c r="G36" s="886"/>
      <c r="H36" s="886"/>
      <c r="I36" s="886"/>
      <c r="J36" s="886"/>
      <c r="K36" s="886"/>
      <c r="L36" s="886"/>
      <c r="M36" s="887"/>
      <c r="O36" s="390"/>
      <c r="Q36" s="389"/>
      <c r="S36" s="394" t="s">
        <v>590</v>
      </c>
      <c r="U36" s="396"/>
    </row>
    <row r="37" spans="2:21" ht="11.25" customHeight="1" x14ac:dyDescent="0.2">
      <c r="B37" s="94"/>
      <c r="C37" s="14" t="s">
        <v>52</v>
      </c>
      <c r="D37" s="39"/>
      <c r="E37" s="15" t="s">
        <v>13</v>
      </c>
      <c r="F37" s="15" t="s">
        <v>7</v>
      </c>
      <c r="G37" s="171"/>
      <c r="H37" s="891"/>
      <c r="I37" s="171"/>
      <c r="J37" s="891"/>
      <c r="K37" s="891"/>
      <c r="L37" s="891"/>
      <c r="M37" s="892"/>
      <c r="O37" s="390"/>
      <c r="Q37" s="389"/>
      <c r="S37" s="394" t="s">
        <v>366</v>
      </c>
      <c r="U37" s="268"/>
    </row>
    <row r="38" spans="2:21" ht="11.25" customHeight="1" x14ac:dyDescent="0.2">
      <c r="B38" s="21"/>
      <c r="C38" s="5" t="s">
        <v>8</v>
      </c>
      <c r="D38" s="28"/>
      <c r="E38" s="4" t="s">
        <v>9</v>
      </c>
      <c r="F38" s="4" t="s">
        <v>7</v>
      </c>
      <c r="G38" s="429"/>
      <c r="H38" s="886"/>
      <c r="I38" s="429"/>
      <c r="J38" s="886"/>
      <c r="K38" s="886"/>
      <c r="L38" s="886"/>
      <c r="M38" s="887"/>
      <c r="O38" s="390"/>
      <c r="Q38" s="389"/>
      <c r="S38" s="394" t="s">
        <v>581</v>
      </c>
      <c r="U38" s="268"/>
    </row>
    <row r="39" spans="2:21" ht="11.25" customHeight="1" x14ac:dyDescent="0.2">
      <c r="B39" s="21"/>
      <c r="C39" s="5" t="s">
        <v>91</v>
      </c>
      <c r="D39" s="28"/>
      <c r="E39" s="4" t="s">
        <v>15</v>
      </c>
      <c r="F39" s="4" t="s">
        <v>7</v>
      </c>
      <c r="G39" s="429"/>
      <c r="H39" s="886"/>
      <c r="I39" s="429"/>
      <c r="J39" s="886"/>
      <c r="K39" s="886"/>
      <c r="L39" s="886"/>
      <c r="M39" s="887"/>
      <c r="O39" s="390"/>
      <c r="Q39" s="389"/>
      <c r="S39" s="394" t="s">
        <v>618</v>
      </c>
      <c r="U39" s="268"/>
    </row>
    <row r="40" spans="2:21" ht="11.25" customHeight="1" x14ac:dyDescent="0.2">
      <c r="B40" s="965" t="s">
        <v>809</v>
      </c>
      <c r="C40" s="966"/>
      <c r="D40" s="967"/>
      <c r="E40" s="15"/>
      <c r="F40" s="15"/>
      <c r="G40" s="171"/>
      <c r="H40" s="171"/>
      <c r="I40" s="171"/>
      <c r="J40" s="171"/>
      <c r="K40" s="171"/>
      <c r="L40" s="171"/>
      <c r="M40" s="237"/>
      <c r="O40" s="390"/>
      <c r="Q40" s="389"/>
      <c r="S40" s="394" t="s">
        <v>125</v>
      </c>
      <c r="U40" s="268"/>
    </row>
    <row r="41" spans="2:21" ht="11.25" customHeight="1" x14ac:dyDescent="0.2">
      <c r="B41" s="94"/>
      <c r="C41" s="14" t="s">
        <v>810</v>
      </c>
      <c r="D41" s="39"/>
      <c r="E41" s="15" t="s">
        <v>811</v>
      </c>
      <c r="F41" s="15" t="s">
        <v>7</v>
      </c>
      <c r="G41" s="891"/>
      <c r="H41" s="891"/>
      <c r="I41" s="891"/>
      <c r="J41" s="886"/>
      <c r="K41" s="886"/>
      <c r="L41" s="886"/>
      <c r="M41" s="887"/>
      <c r="O41" s="390"/>
      <c r="Q41" s="389"/>
      <c r="S41" s="394" t="s">
        <v>127</v>
      </c>
      <c r="U41" s="268"/>
    </row>
    <row r="42" spans="2:21" ht="11.25" customHeight="1" x14ac:dyDescent="0.2">
      <c r="B42" s="137" t="s">
        <v>371</v>
      </c>
      <c r="C42" s="138"/>
      <c r="D42" s="139"/>
      <c r="E42" s="15"/>
      <c r="F42" s="15"/>
      <c r="G42" s="171"/>
      <c r="H42" s="891"/>
      <c r="I42" s="171"/>
      <c r="J42" s="4"/>
      <c r="K42" s="4"/>
      <c r="L42" s="4"/>
      <c r="M42" s="237"/>
      <c r="O42" s="390"/>
      <c r="Q42" s="389"/>
      <c r="S42" s="394" t="s">
        <v>128</v>
      </c>
      <c r="U42" s="268"/>
    </row>
    <row r="43" spans="2:21" ht="11.25" customHeight="1" x14ac:dyDescent="0.2">
      <c r="B43" s="94"/>
      <c r="C43" s="14" t="s">
        <v>698</v>
      </c>
      <c r="D43" s="39"/>
      <c r="E43" s="15" t="s">
        <v>372</v>
      </c>
      <c r="F43" s="15" t="s">
        <v>7</v>
      </c>
      <c r="G43" s="171"/>
      <c r="H43" s="891"/>
      <c r="I43" s="171"/>
      <c r="J43" s="891"/>
      <c r="K43" s="891"/>
      <c r="L43" s="891"/>
      <c r="M43" s="892"/>
      <c r="O43" s="390"/>
      <c r="Q43" s="389"/>
      <c r="S43" s="394" t="s">
        <v>149</v>
      </c>
      <c r="U43" s="268"/>
    </row>
    <row r="44" spans="2:21" ht="11.25" customHeight="1" x14ac:dyDescent="0.2">
      <c r="B44" s="23"/>
      <c r="C44" s="33" t="s">
        <v>381</v>
      </c>
      <c r="D44" s="40"/>
      <c r="E44" s="19" t="s">
        <v>382</v>
      </c>
      <c r="F44" s="19" t="s">
        <v>7</v>
      </c>
      <c r="G44" s="917"/>
      <c r="H44" s="918">
        <f t="shared" ref="H44:M44" si="2">SUM(H45:H47)</f>
        <v>0</v>
      </c>
      <c r="I44" s="917"/>
      <c r="J44" s="918">
        <f>SUM(J45:J47)</f>
        <v>0</v>
      </c>
      <c r="K44" s="918">
        <f t="shared" si="2"/>
        <v>0</v>
      </c>
      <c r="L44" s="918">
        <f t="shared" si="2"/>
        <v>0</v>
      </c>
      <c r="M44" s="910">
        <f t="shared" si="2"/>
        <v>0</v>
      </c>
      <c r="O44" s="390"/>
      <c r="Q44" s="389"/>
      <c r="S44" s="394" t="s">
        <v>129</v>
      </c>
      <c r="U44" s="268"/>
    </row>
    <row r="45" spans="2:21" ht="11.25" customHeight="1" x14ac:dyDescent="0.2">
      <c r="B45" s="20"/>
      <c r="C45" s="34" t="s">
        <v>373</v>
      </c>
      <c r="D45" s="41"/>
      <c r="E45" s="17" t="s">
        <v>374</v>
      </c>
      <c r="F45" s="17" t="s">
        <v>7</v>
      </c>
      <c r="G45" s="175"/>
      <c r="H45" s="876"/>
      <c r="I45" s="175"/>
      <c r="J45" s="876"/>
      <c r="K45" s="876"/>
      <c r="L45" s="876"/>
      <c r="M45" s="878"/>
      <c r="O45" s="390"/>
      <c r="Q45" s="389"/>
      <c r="S45" s="394" t="s">
        <v>131</v>
      </c>
      <c r="U45" s="268"/>
    </row>
    <row r="46" spans="2:21" ht="11.25" customHeight="1" x14ac:dyDescent="0.2">
      <c r="B46" s="21"/>
      <c r="C46" s="5" t="s">
        <v>375</v>
      </c>
      <c r="D46" s="42"/>
      <c r="E46" s="4" t="s">
        <v>376</v>
      </c>
      <c r="F46" s="4" t="s">
        <v>7</v>
      </c>
      <c r="G46" s="429"/>
      <c r="H46" s="886"/>
      <c r="I46" s="429"/>
      <c r="J46" s="886"/>
      <c r="K46" s="886"/>
      <c r="L46" s="886"/>
      <c r="M46" s="887"/>
      <c r="O46" s="390"/>
      <c r="Q46" s="389"/>
      <c r="S46" s="394" t="s">
        <v>130</v>
      </c>
      <c r="U46" s="268"/>
    </row>
    <row r="47" spans="2:21" ht="11.25" customHeight="1" x14ac:dyDescent="0.2">
      <c r="B47" s="22"/>
      <c r="C47" s="35" t="s">
        <v>377</v>
      </c>
      <c r="D47" s="43"/>
      <c r="E47" s="18" t="s">
        <v>378</v>
      </c>
      <c r="F47" s="18" t="s">
        <v>7</v>
      </c>
      <c r="G47" s="170"/>
      <c r="H47" s="877"/>
      <c r="I47" s="170"/>
      <c r="J47" s="877"/>
      <c r="K47" s="877"/>
      <c r="L47" s="877"/>
      <c r="M47" s="890"/>
      <c r="O47" s="390"/>
      <c r="Q47" s="389"/>
      <c r="S47" s="394" t="s">
        <v>133</v>
      </c>
      <c r="U47" s="268"/>
    </row>
    <row r="48" spans="2:21" ht="11.25" customHeight="1" x14ac:dyDescent="0.2">
      <c r="B48" s="23"/>
      <c r="C48" s="33" t="s">
        <v>383</v>
      </c>
      <c r="D48" s="40"/>
      <c r="E48" s="19" t="s">
        <v>384</v>
      </c>
      <c r="F48" s="19" t="s">
        <v>7</v>
      </c>
      <c r="G48" s="917"/>
      <c r="H48" s="918">
        <f t="shared" ref="H48:M48" si="3">H49+H50</f>
        <v>0</v>
      </c>
      <c r="I48" s="917"/>
      <c r="J48" s="918">
        <f t="shared" si="3"/>
        <v>0</v>
      </c>
      <c r="K48" s="918">
        <f t="shared" si="3"/>
        <v>0</v>
      </c>
      <c r="L48" s="918">
        <f t="shared" si="3"/>
        <v>0</v>
      </c>
      <c r="M48" s="910">
        <f t="shared" si="3"/>
        <v>0</v>
      </c>
      <c r="O48" s="390"/>
      <c r="Q48" s="389"/>
      <c r="S48" s="394" t="s">
        <v>603</v>
      </c>
      <c r="U48" s="268"/>
    </row>
    <row r="49" spans="2:21" ht="11.25" customHeight="1" x14ac:dyDescent="0.2">
      <c r="B49" s="20"/>
      <c r="C49" s="34" t="s">
        <v>567</v>
      </c>
      <c r="D49" s="41"/>
      <c r="E49" s="140" t="s">
        <v>379</v>
      </c>
      <c r="F49" s="17" t="s">
        <v>7</v>
      </c>
      <c r="G49" s="175"/>
      <c r="H49" s="876"/>
      <c r="I49" s="175"/>
      <c r="J49" s="876"/>
      <c r="K49" s="876"/>
      <c r="L49" s="876"/>
      <c r="M49" s="878"/>
      <c r="O49" s="390"/>
      <c r="Q49" s="389"/>
      <c r="S49" s="394" t="s">
        <v>604</v>
      </c>
      <c r="U49" s="268"/>
    </row>
    <row r="50" spans="2:21" ht="11.25" customHeight="1" x14ac:dyDescent="0.2">
      <c r="B50" s="22"/>
      <c r="C50" s="35" t="s">
        <v>568</v>
      </c>
      <c r="D50" s="43"/>
      <c r="E50" s="141" t="s">
        <v>380</v>
      </c>
      <c r="F50" s="18" t="s">
        <v>7</v>
      </c>
      <c r="G50" s="170"/>
      <c r="H50" s="877"/>
      <c r="I50" s="170"/>
      <c r="J50" s="877"/>
      <c r="K50" s="877"/>
      <c r="L50" s="877"/>
      <c r="M50" s="890"/>
      <c r="O50" s="390"/>
      <c r="Q50" s="389"/>
      <c r="S50" s="394" t="s">
        <v>134</v>
      </c>
      <c r="U50" s="268"/>
    </row>
    <row r="51" spans="2:21" ht="11.25" customHeight="1" x14ac:dyDescent="0.25">
      <c r="B51" s="959" t="s">
        <v>329</v>
      </c>
      <c r="C51" s="960"/>
      <c r="D51" s="961"/>
      <c r="E51" s="17" t="s">
        <v>123</v>
      </c>
      <c r="F51" s="17" t="s">
        <v>7</v>
      </c>
      <c r="G51" s="175"/>
      <c r="H51" s="876"/>
      <c r="I51" s="175"/>
      <c r="J51" s="876"/>
      <c r="K51" s="876"/>
      <c r="L51" s="876"/>
      <c r="M51" s="878"/>
      <c r="O51" s="390"/>
      <c r="Q51" s="389"/>
      <c r="S51" s="394" t="s">
        <v>135</v>
      </c>
      <c r="U51" s="268"/>
    </row>
    <row r="52" spans="2:21" ht="11.25" customHeight="1" x14ac:dyDescent="0.2">
      <c r="B52" s="953" t="s">
        <v>566</v>
      </c>
      <c r="C52" s="954"/>
      <c r="D52" s="955"/>
      <c r="E52" s="4" t="s">
        <v>385</v>
      </c>
      <c r="F52" s="237" t="s">
        <v>182</v>
      </c>
      <c r="G52" s="430"/>
      <c r="H52" s="429"/>
      <c r="I52" s="429"/>
      <c r="J52" s="886"/>
      <c r="K52" s="886"/>
      <c r="L52" s="886"/>
      <c r="M52" s="887"/>
      <c r="O52" s="390"/>
      <c r="Q52" s="389"/>
      <c r="S52" s="394" t="s">
        <v>367</v>
      </c>
      <c r="U52" s="268"/>
    </row>
    <row r="53" spans="2:21" ht="11.25" customHeight="1" x14ac:dyDescent="0.2">
      <c r="B53" s="956" t="s">
        <v>699</v>
      </c>
      <c r="C53" s="957"/>
      <c r="D53" s="958"/>
      <c r="E53" s="4" t="s">
        <v>386</v>
      </c>
      <c r="F53" s="237" t="s">
        <v>183</v>
      </c>
      <c r="G53" s="430"/>
      <c r="H53" s="429"/>
      <c r="I53" s="429"/>
      <c r="J53" s="429"/>
      <c r="K53" s="886"/>
      <c r="L53" s="886"/>
      <c r="M53" s="887"/>
      <c r="O53" s="390"/>
      <c r="Q53" s="389"/>
      <c r="S53" s="394" t="s">
        <v>146</v>
      </c>
      <c r="U53" s="268"/>
    </row>
    <row r="54" spans="2:21" ht="11.25" customHeight="1" x14ac:dyDescent="0.2">
      <c r="B54" s="176" t="s">
        <v>565</v>
      </c>
      <c r="C54" s="177"/>
      <c r="D54" s="178"/>
      <c r="E54" s="16" t="s">
        <v>181</v>
      </c>
      <c r="F54" s="246" t="s">
        <v>184</v>
      </c>
      <c r="G54" s="431"/>
      <c r="H54" s="432"/>
      <c r="I54" s="432"/>
      <c r="J54" s="432"/>
      <c r="K54" s="888"/>
      <c r="L54" s="888"/>
      <c r="M54" s="889"/>
      <c r="O54" s="390"/>
      <c r="Q54" s="389"/>
      <c r="S54" s="394" t="s">
        <v>594</v>
      </c>
      <c r="U54" s="268"/>
    </row>
    <row r="55" spans="2:21" ht="11.25" customHeight="1" x14ac:dyDescent="0.25">
      <c r="B55" s="179" t="s">
        <v>414</v>
      </c>
      <c r="C55" s="174"/>
      <c r="D55" s="180"/>
      <c r="E55" s="181" t="s">
        <v>415</v>
      </c>
      <c r="F55" s="337" t="s">
        <v>184</v>
      </c>
      <c r="G55" s="433"/>
      <c r="H55" s="434"/>
      <c r="I55" s="434"/>
      <c r="J55" s="434"/>
      <c r="K55" s="895"/>
      <c r="L55" s="895"/>
      <c r="M55" s="896"/>
      <c r="O55" s="390"/>
      <c r="Q55" s="389"/>
      <c r="S55" s="393"/>
      <c r="U55" s="268"/>
    </row>
    <row r="56" spans="2:21" ht="11.25" customHeight="1" x14ac:dyDescent="0.2">
      <c r="B56" s="962" t="s">
        <v>621</v>
      </c>
      <c r="C56" s="963"/>
      <c r="D56" s="964"/>
      <c r="E56" s="182" t="s">
        <v>388</v>
      </c>
      <c r="F56" s="182" t="s">
        <v>182</v>
      </c>
      <c r="G56" s="893"/>
      <c r="H56" s="893"/>
      <c r="I56" s="893"/>
      <c r="J56" s="893"/>
      <c r="K56" s="893"/>
      <c r="L56" s="893"/>
      <c r="M56" s="894"/>
      <c r="O56" s="390"/>
      <c r="Q56" s="389"/>
      <c r="S56" s="393"/>
      <c r="U56" s="268"/>
    </row>
    <row r="57" spans="2:21" ht="11.25" customHeight="1" x14ac:dyDescent="0.2">
      <c r="B57" s="3" t="s">
        <v>96</v>
      </c>
      <c r="C57" s="3"/>
      <c r="D57" s="11"/>
      <c r="O57" s="390"/>
      <c r="Q57" s="389"/>
      <c r="S57" s="393"/>
      <c r="U57" s="268"/>
    </row>
    <row r="58" spans="2:21" ht="12.75" customHeight="1" x14ac:dyDescent="0.2">
      <c r="B58" s="111" t="s">
        <v>18</v>
      </c>
      <c r="C58" s="102" t="s">
        <v>1</v>
      </c>
      <c r="D58" s="103"/>
      <c r="E58" s="104"/>
      <c r="F58" s="17" t="s">
        <v>2</v>
      </c>
      <c r="G58" s="17" t="s">
        <v>28</v>
      </c>
      <c r="H58" s="17" t="s">
        <v>28</v>
      </c>
      <c r="I58" s="17" t="s">
        <v>28</v>
      </c>
      <c r="J58" s="17" t="s">
        <v>28</v>
      </c>
      <c r="K58" s="17" t="s">
        <v>28</v>
      </c>
      <c r="L58" s="17" t="s">
        <v>28</v>
      </c>
      <c r="M58" s="235" t="s">
        <v>28</v>
      </c>
      <c r="O58" s="390"/>
      <c r="Q58" s="389"/>
      <c r="S58" s="393"/>
      <c r="U58" s="268"/>
    </row>
    <row r="59" spans="2:21" ht="12.75" customHeight="1" x14ac:dyDescent="0.2">
      <c r="B59" s="107">
        <v>1</v>
      </c>
      <c r="C59" s="36" t="s">
        <v>543</v>
      </c>
      <c r="D59" s="45"/>
      <c r="E59" s="6" t="s">
        <v>0</v>
      </c>
      <c r="F59" s="4" t="s">
        <v>19</v>
      </c>
      <c r="G59" s="886"/>
      <c r="H59" s="886"/>
      <c r="I59" s="886"/>
      <c r="J59" s="886"/>
      <c r="K59" s="886"/>
      <c r="L59" s="886"/>
      <c r="M59" s="887"/>
      <c r="O59" s="390"/>
      <c r="Q59" s="389"/>
      <c r="S59" s="393"/>
      <c r="U59" s="268"/>
    </row>
    <row r="60" spans="2:21" ht="12.75" customHeight="1" x14ac:dyDescent="0.2">
      <c r="B60" s="112">
        <v>1</v>
      </c>
      <c r="C60" s="79" t="s">
        <v>544</v>
      </c>
      <c r="D60" s="80"/>
      <c r="E60" s="78" t="s">
        <v>0</v>
      </c>
      <c r="F60" s="15" t="s">
        <v>19</v>
      </c>
      <c r="G60" s="891"/>
      <c r="H60" s="891"/>
      <c r="I60" s="891"/>
      <c r="J60" s="891"/>
      <c r="K60" s="891"/>
      <c r="L60" s="891"/>
      <c r="M60" s="892"/>
      <c r="O60" s="390"/>
      <c r="Q60" s="389"/>
      <c r="S60" s="393"/>
      <c r="U60" s="268"/>
    </row>
    <row r="61" spans="2:21" ht="12.75" customHeight="1" x14ac:dyDescent="0.2">
      <c r="B61" s="101">
        <v>2</v>
      </c>
      <c r="C61" s="102" t="s">
        <v>21</v>
      </c>
      <c r="D61" s="103"/>
      <c r="E61" s="104" t="s">
        <v>0</v>
      </c>
      <c r="F61" s="17" t="s">
        <v>19</v>
      </c>
      <c r="G61" s="876"/>
      <c r="H61" s="876"/>
      <c r="I61" s="876"/>
      <c r="J61" s="876"/>
      <c r="K61" s="911">
        <f>SUM(K62:K75)</f>
        <v>0</v>
      </c>
      <c r="L61" s="911">
        <f>SUM(L62:L75)</f>
        <v>0</v>
      </c>
      <c r="M61" s="912">
        <f>SUM(M62:M75)</f>
        <v>0</v>
      </c>
      <c r="O61" s="390"/>
      <c r="Q61" s="389"/>
      <c r="S61" s="393"/>
      <c r="U61" s="268"/>
    </row>
    <row r="62" spans="2:21" ht="12.75" customHeight="1" x14ac:dyDescent="0.2">
      <c r="B62" s="106"/>
      <c r="C62" s="36" t="s">
        <v>100</v>
      </c>
      <c r="D62" s="95"/>
      <c r="E62" s="6" t="s">
        <v>0</v>
      </c>
      <c r="F62" s="4" t="s">
        <v>19</v>
      </c>
      <c r="G62" s="429"/>
      <c r="H62" s="429"/>
      <c r="I62" s="429"/>
      <c r="J62" s="429"/>
      <c r="K62" s="886"/>
      <c r="L62" s="886"/>
      <c r="M62" s="887"/>
      <c r="O62" s="390"/>
      <c r="Q62" s="389"/>
    </row>
    <row r="63" spans="2:21" ht="12.75" customHeight="1" x14ac:dyDescent="0.2">
      <c r="B63" s="107"/>
      <c r="C63" s="36" t="s">
        <v>101</v>
      </c>
      <c r="D63" s="95"/>
      <c r="E63" s="6" t="s">
        <v>0</v>
      </c>
      <c r="F63" s="4" t="s">
        <v>19</v>
      </c>
      <c r="G63" s="429"/>
      <c r="H63" s="429"/>
      <c r="I63" s="429"/>
      <c r="J63" s="429"/>
      <c r="K63" s="886"/>
      <c r="L63" s="886"/>
      <c r="M63" s="887"/>
      <c r="O63" s="390"/>
      <c r="Q63" s="389"/>
    </row>
    <row r="64" spans="2:21" ht="12.75" customHeight="1" x14ac:dyDescent="0.2">
      <c r="B64" s="107"/>
      <c r="C64" s="36" t="s">
        <v>102</v>
      </c>
      <c r="D64" s="95"/>
      <c r="E64" s="6" t="s">
        <v>0</v>
      </c>
      <c r="F64" s="4" t="s">
        <v>19</v>
      </c>
      <c r="G64" s="429"/>
      <c r="H64" s="429"/>
      <c r="I64" s="429"/>
      <c r="J64" s="429"/>
      <c r="K64" s="886"/>
      <c r="L64" s="886"/>
      <c r="M64" s="887"/>
      <c r="O64" s="390"/>
      <c r="Q64" s="389"/>
    </row>
    <row r="65" spans="2:17" ht="12.75" customHeight="1" x14ac:dyDescent="0.2">
      <c r="B65" s="107"/>
      <c r="C65" s="36" t="s">
        <v>103</v>
      </c>
      <c r="D65" s="95"/>
      <c r="E65" s="6" t="s">
        <v>0</v>
      </c>
      <c r="F65" s="4" t="s">
        <v>19</v>
      </c>
      <c r="G65" s="429"/>
      <c r="H65" s="429"/>
      <c r="I65" s="429"/>
      <c r="J65" s="429"/>
      <c r="K65" s="886"/>
      <c r="L65" s="886"/>
      <c r="M65" s="887"/>
      <c r="O65" s="390"/>
      <c r="Q65" s="389"/>
    </row>
    <row r="66" spans="2:17" ht="12.75" customHeight="1" x14ac:dyDescent="0.2">
      <c r="B66" s="107"/>
      <c r="C66" s="36" t="s">
        <v>370</v>
      </c>
      <c r="D66" s="95"/>
      <c r="E66" s="6" t="s">
        <v>0</v>
      </c>
      <c r="F66" s="4" t="s">
        <v>19</v>
      </c>
      <c r="G66" s="429"/>
      <c r="H66" s="429"/>
      <c r="I66" s="429"/>
      <c r="J66" s="429"/>
      <c r="K66" s="886"/>
      <c r="L66" s="886"/>
      <c r="M66" s="887"/>
      <c r="O66" s="390"/>
      <c r="Q66" s="389"/>
    </row>
    <row r="67" spans="2:17" ht="12.75" customHeight="1" x14ac:dyDescent="0.2">
      <c r="B67" s="107"/>
      <c r="C67" s="36" t="s">
        <v>186</v>
      </c>
      <c r="D67" s="95"/>
      <c r="E67" s="6"/>
      <c r="F67" s="4" t="s">
        <v>19</v>
      </c>
      <c r="G67" s="429"/>
      <c r="H67" s="429"/>
      <c r="I67" s="429"/>
      <c r="J67" s="429"/>
      <c r="K67" s="886"/>
      <c r="L67" s="886"/>
      <c r="M67" s="887"/>
      <c r="O67" s="390"/>
      <c r="Q67" s="389"/>
    </row>
    <row r="68" spans="2:17" ht="12.75" customHeight="1" x14ac:dyDescent="0.2">
      <c r="B68" s="107"/>
      <c r="C68" s="36" t="s">
        <v>412</v>
      </c>
      <c r="D68" s="95"/>
      <c r="E68" s="6"/>
      <c r="F68" s="4" t="s">
        <v>19</v>
      </c>
      <c r="G68" s="429"/>
      <c r="H68" s="429"/>
      <c r="I68" s="429"/>
      <c r="J68" s="429"/>
      <c r="K68" s="886"/>
      <c r="L68" s="886"/>
      <c r="M68" s="887"/>
      <c r="O68" s="390"/>
      <c r="Q68" s="389"/>
    </row>
    <row r="69" spans="2:17" ht="12.75" customHeight="1" x14ac:dyDescent="0.2">
      <c r="B69" s="107"/>
      <c r="C69" s="36" t="s">
        <v>188</v>
      </c>
      <c r="D69" s="95"/>
      <c r="E69" s="6"/>
      <c r="F69" s="4" t="s">
        <v>19</v>
      </c>
      <c r="G69" s="429"/>
      <c r="H69" s="429"/>
      <c r="I69" s="429"/>
      <c r="J69" s="429"/>
      <c r="K69" s="886"/>
      <c r="L69" s="886"/>
      <c r="M69" s="887"/>
      <c r="O69" s="390"/>
      <c r="Q69" s="389"/>
    </row>
    <row r="70" spans="2:17" ht="12.75" customHeight="1" x14ac:dyDescent="0.2">
      <c r="B70" s="340"/>
      <c r="C70" s="153" t="s">
        <v>410</v>
      </c>
      <c r="D70" s="95"/>
      <c r="E70" s="341"/>
      <c r="F70" s="24" t="s">
        <v>19</v>
      </c>
      <c r="G70" s="429"/>
      <c r="H70" s="429"/>
      <c r="I70" s="429"/>
      <c r="J70" s="429"/>
      <c r="K70" s="886"/>
      <c r="L70" s="886"/>
      <c r="M70" s="887"/>
      <c r="O70" s="390"/>
      <c r="Q70" s="389"/>
    </row>
    <row r="71" spans="2:17" ht="12.75" customHeight="1" x14ac:dyDescent="0.2">
      <c r="B71" s="107"/>
      <c r="C71" s="36" t="s">
        <v>189</v>
      </c>
      <c r="D71" s="95"/>
      <c r="E71" s="6"/>
      <c r="F71" s="4" t="s">
        <v>19</v>
      </c>
      <c r="G71" s="429"/>
      <c r="H71" s="429"/>
      <c r="I71" s="429"/>
      <c r="J71" s="429"/>
      <c r="K71" s="886"/>
      <c r="L71" s="886"/>
      <c r="M71" s="887"/>
      <c r="O71" s="390"/>
      <c r="Q71" s="389"/>
    </row>
    <row r="72" spans="2:17" ht="12.75" customHeight="1" x14ac:dyDescent="0.2">
      <c r="B72" s="106"/>
      <c r="C72" s="36" t="s">
        <v>104</v>
      </c>
      <c r="D72" s="95"/>
      <c r="E72" s="6" t="s">
        <v>0</v>
      </c>
      <c r="F72" s="4" t="s">
        <v>19</v>
      </c>
      <c r="G72" s="429"/>
      <c r="H72" s="429"/>
      <c r="I72" s="429"/>
      <c r="J72" s="429"/>
      <c r="K72" s="886"/>
      <c r="L72" s="886"/>
      <c r="M72" s="887"/>
      <c r="O72" s="390"/>
      <c r="Q72" s="389"/>
    </row>
    <row r="73" spans="2:17" ht="12.75" customHeight="1" x14ac:dyDescent="0.2">
      <c r="B73" s="106"/>
      <c r="C73" s="36" t="s">
        <v>105</v>
      </c>
      <c r="D73" s="95"/>
      <c r="E73" s="6" t="s">
        <v>0</v>
      </c>
      <c r="F73" s="4" t="s">
        <v>19</v>
      </c>
      <c r="G73" s="429"/>
      <c r="H73" s="429"/>
      <c r="I73" s="429"/>
      <c r="J73" s="429"/>
      <c r="K73" s="886"/>
      <c r="L73" s="886"/>
      <c r="M73" s="887"/>
      <c r="O73" s="390"/>
      <c r="Q73" s="389"/>
    </row>
    <row r="74" spans="2:17" ht="12.75" customHeight="1" x14ac:dyDescent="0.2">
      <c r="B74" s="107"/>
      <c r="C74" s="36" t="s">
        <v>106</v>
      </c>
      <c r="D74" s="95"/>
      <c r="E74" s="6" t="s">
        <v>0</v>
      </c>
      <c r="F74" s="4" t="s">
        <v>19</v>
      </c>
      <c r="G74" s="429"/>
      <c r="H74" s="429"/>
      <c r="I74" s="429"/>
      <c r="J74" s="429"/>
      <c r="K74" s="886"/>
      <c r="L74" s="886"/>
      <c r="M74" s="887"/>
      <c r="O74" s="390"/>
      <c r="Q74" s="389"/>
    </row>
    <row r="75" spans="2:17" ht="12.75" customHeight="1" x14ac:dyDescent="0.2">
      <c r="B75" s="108"/>
      <c r="C75" s="109" t="s">
        <v>551</v>
      </c>
      <c r="D75" s="110"/>
      <c r="E75" s="120" t="s">
        <v>0</v>
      </c>
      <c r="F75" s="18" t="s">
        <v>19</v>
      </c>
      <c r="G75" s="170"/>
      <c r="H75" s="170"/>
      <c r="I75" s="170"/>
      <c r="J75" s="170"/>
      <c r="K75" s="877"/>
      <c r="L75" s="877"/>
      <c r="M75" s="890"/>
      <c r="O75" s="390"/>
      <c r="Q75" s="389"/>
    </row>
    <row r="76" spans="2:17" ht="12.75" customHeight="1" x14ac:dyDescent="0.2">
      <c r="B76" s="113">
        <v>3</v>
      </c>
      <c r="C76" s="942" t="s">
        <v>545</v>
      </c>
      <c r="D76" s="943"/>
      <c r="E76" s="100" t="s">
        <v>0</v>
      </c>
      <c r="F76" s="16" t="s">
        <v>19</v>
      </c>
      <c r="G76" s="888"/>
      <c r="H76" s="888"/>
      <c r="I76" s="888"/>
      <c r="J76" s="888"/>
      <c r="K76" s="888"/>
      <c r="L76" s="888"/>
      <c r="M76" s="889"/>
      <c r="O76" s="390"/>
    </row>
    <row r="77" spans="2:17" ht="12.75" customHeight="1" x14ac:dyDescent="0.2">
      <c r="B77" s="107">
        <v>4</v>
      </c>
      <c r="C77" s="36" t="s">
        <v>546</v>
      </c>
      <c r="D77" s="45"/>
      <c r="E77" s="6"/>
      <c r="F77" s="4" t="s">
        <v>19</v>
      </c>
      <c r="G77" s="886"/>
      <c r="H77" s="886"/>
      <c r="I77" s="886"/>
      <c r="J77" s="886"/>
      <c r="K77" s="886"/>
      <c r="L77" s="886"/>
      <c r="M77" s="887"/>
      <c r="O77" s="390"/>
    </row>
    <row r="78" spans="2:17" ht="12.75" customHeight="1" x14ac:dyDescent="0.2">
      <c r="B78" s="107">
        <v>5</v>
      </c>
      <c r="C78" s="36" t="s">
        <v>24</v>
      </c>
      <c r="D78" s="45"/>
      <c r="E78" s="6" t="s">
        <v>0</v>
      </c>
      <c r="F78" s="4" t="s">
        <v>19</v>
      </c>
      <c r="G78" s="886"/>
      <c r="H78" s="886"/>
      <c r="I78" s="886"/>
      <c r="J78" s="886"/>
      <c r="K78" s="886"/>
      <c r="L78" s="886"/>
      <c r="M78" s="887"/>
      <c r="O78" s="390"/>
    </row>
    <row r="79" spans="2:17" ht="12.75" customHeight="1" outlineLevel="1" x14ac:dyDescent="0.2">
      <c r="B79" s="152" t="s">
        <v>143</v>
      </c>
      <c r="C79" s="978" t="s">
        <v>570</v>
      </c>
      <c r="D79" s="979"/>
      <c r="E79" s="6" t="s">
        <v>0</v>
      </c>
      <c r="F79" s="4" t="s">
        <v>19</v>
      </c>
      <c r="G79" s="886"/>
      <c r="H79" s="886"/>
      <c r="I79" s="886"/>
      <c r="J79" s="886"/>
      <c r="K79" s="886"/>
      <c r="L79" s="886"/>
      <c r="M79" s="887"/>
      <c r="O79" s="390"/>
    </row>
    <row r="80" spans="2:17" ht="12.75" customHeight="1" x14ac:dyDescent="0.2">
      <c r="B80" s="107">
        <v>9</v>
      </c>
      <c r="C80" s="36" t="s">
        <v>547</v>
      </c>
      <c r="D80" s="45"/>
      <c r="E80" s="6" t="s">
        <v>0</v>
      </c>
      <c r="F80" s="4" t="s">
        <v>19</v>
      </c>
      <c r="G80" s="886"/>
      <c r="H80" s="886"/>
      <c r="I80" s="886"/>
      <c r="J80" s="886"/>
      <c r="K80" s="886"/>
      <c r="L80" s="886"/>
      <c r="M80" s="887"/>
      <c r="O80" s="390"/>
    </row>
    <row r="81" spans="1:21" ht="12.75" customHeight="1" x14ac:dyDescent="0.2">
      <c r="B81" s="114"/>
      <c r="C81" s="37" t="s">
        <v>338</v>
      </c>
      <c r="D81" s="46"/>
      <c r="E81" s="4"/>
      <c r="F81" s="4" t="s">
        <v>19</v>
      </c>
      <c r="G81" s="866">
        <f t="shared" ref="G81:M81" si="4">G80+G79+G78+G77+G76+G61+G60+G59</f>
        <v>0</v>
      </c>
      <c r="H81" s="866">
        <f t="shared" si="4"/>
        <v>0</v>
      </c>
      <c r="I81" s="866">
        <f t="shared" si="4"/>
        <v>0</v>
      </c>
      <c r="J81" s="866">
        <f>J80+J79+J78+J77+J76+J61+J60+J59</f>
        <v>0</v>
      </c>
      <c r="K81" s="866">
        <f t="shared" si="4"/>
        <v>0</v>
      </c>
      <c r="L81" s="866">
        <f t="shared" si="4"/>
        <v>0</v>
      </c>
      <c r="M81" s="868">
        <f t="shared" si="4"/>
        <v>0</v>
      </c>
      <c r="O81" s="390"/>
    </row>
    <row r="82" spans="1:21" ht="12.75" customHeight="1" x14ac:dyDescent="0.2">
      <c r="B82" s="106" t="s">
        <v>20</v>
      </c>
      <c r="C82" s="36" t="s">
        <v>337</v>
      </c>
      <c r="D82" s="45"/>
      <c r="E82" s="6" t="s">
        <v>6</v>
      </c>
      <c r="F82" s="4" t="s">
        <v>19</v>
      </c>
      <c r="G82" s="886"/>
      <c r="H82" s="886"/>
      <c r="I82" s="886"/>
      <c r="J82" s="886"/>
      <c r="K82" s="886"/>
      <c r="L82" s="886"/>
      <c r="M82" s="887"/>
    </row>
    <row r="83" spans="1:21" ht="12.75" customHeight="1" x14ac:dyDescent="0.2">
      <c r="B83" s="114"/>
      <c r="C83" s="37" t="s">
        <v>94</v>
      </c>
      <c r="D83" s="46"/>
      <c r="E83" s="4"/>
      <c r="F83" s="4" t="s">
        <v>19</v>
      </c>
      <c r="G83" s="866">
        <f t="shared" ref="G83:M83" si="5">G81+G82</f>
        <v>0</v>
      </c>
      <c r="H83" s="866">
        <f t="shared" si="5"/>
        <v>0</v>
      </c>
      <c r="I83" s="866">
        <f>I81+I82</f>
        <v>0</v>
      </c>
      <c r="J83" s="866">
        <f t="shared" si="5"/>
        <v>0</v>
      </c>
      <c r="K83" s="866">
        <f>K81+K82</f>
        <v>0</v>
      </c>
      <c r="L83" s="866">
        <f>L81+L82</f>
        <v>0</v>
      </c>
      <c r="M83" s="868">
        <f t="shared" si="5"/>
        <v>0</v>
      </c>
    </row>
    <row r="84" spans="1:21" ht="12.75" customHeight="1" x14ac:dyDescent="0.2">
      <c r="B84" s="114"/>
      <c r="C84" s="37" t="s">
        <v>813</v>
      </c>
      <c r="D84" s="46"/>
      <c r="E84" s="4"/>
      <c r="F84" s="885"/>
      <c r="G84" s="886"/>
      <c r="H84" s="886"/>
      <c r="I84" s="886"/>
      <c r="J84" s="886"/>
      <c r="K84" s="886"/>
      <c r="L84" s="886"/>
      <c r="M84" s="914"/>
    </row>
    <row r="85" spans="1:21" ht="12.75" customHeight="1" x14ac:dyDescent="0.2">
      <c r="B85" s="115"/>
      <c r="C85" s="116" t="s">
        <v>814</v>
      </c>
      <c r="D85" s="117"/>
      <c r="E85" s="18"/>
      <c r="F85" s="18" t="s">
        <v>19</v>
      </c>
      <c r="G85" s="870">
        <f t="shared" ref="G85:L85" si="6">G83+G84</f>
        <v>0</v>
      </c>
      <c r="H85" s="870">
        <f t="shared" si="6"/>
        <v>0</v>
      </c>
      <c r="I85" s="870">
        <f t="shared" si="6"/>
        <v>0</v>
      </c>
      <c r="J85" s="870">
        <f t="shared" si="6"/>
        <v>0</v>
      </c>
      <c r="K85" s="870">
        <f t="shared" si="6"/>
        <v>0</v>
      </c>
      <c r="L85" s="870">
        <f t="shared" si="6"/>
        <v>0</v>
      </c>
      <c r="M85" s="913"/>
    </row>
    <row r="86" spans="1:21" ht="11.25" customHeight="1" x14ac:dyDescent="0.2">
      <c r="B86" s="10"/>
      <c r="C86" s="11"/>
      <c r="D86" s="11"/>
      <c r="E86" s="9"/>
      <c r="F86" s="9"/>
      <c r="G86" s="388"/>
      <c r="M86" s="388"/>
    </row>
    <row r="87" spans="1:21" ht="12.75" customHeight="1" x14ac:dyDescent="0.2">
      <c r="B87" s="402"/>
      <c r="C87" s="406" t="s">
        <v>636</v>
      </c>
      <c r="D87" s="401"/>
      <c r="E87" s="401"/>
      <c r="F87" s="89"/>
      <c r="G87" s="879"/>
      <c r="H87" s="879"/>
      <c r="I87" s="879"/>
      <c r="J87" s="879"/>
      <c r="K87" s="879"/>
      <c r="L87" s="879"/>
      <c r="M87" s="880"/>
    </row>
    <row r="88" spans="1:21" ht="12.75" customHeight="1" x14ac:dyDescent="0.2">
      <c r="B88" s="403"/>
      <c r="C88" s="310" t="s">
        <v>637</v>
      </c>
      <c r="D88" s="310"/>
      <c r="E88" s="88"/>
      <c r="F88" s="38"/>
      <c r="G88" s="881"/>
      <c r="H88" s="881"/>
      <c r="I88" s="881"/>
      <c r="J88" s="881"/>
      <c r="K88" s="881"/>
      <c r="L88" s="881"/>
      <c r="M88" s="882"/>
    </row>
    <row r="89" spans="1:21" ht="12.75" customHeight="1" x14ac:dyDescent="0.2">
      <c r="B89" s="403"/>
      <c r="C89" s="310" t="s">
        <v>638</v>
      </c>
      <c r="D89" s="310"/>
      <c r="E89" s="88"/>
      <c r="F89" s="38"/>
      <c r="G89" s="881"/>
      <c r="H89" s="881"/>
      <c r="I89" s="881"/>
      <c r="J89" s="881"/>
      <c r="K89" s="881"/>
      <c r="L89" s="881"/>
      <c r="M89" s="882"/>
      <c r="S89" s="239"/>
      <c r="U89" s="239"/>
    </row>
    <row r="90" spans="1:21" ht="12.75" customHeight="1" x14ac:dyDescent="0.2">
      <c r="B90" s="404"/>
      <c r="C90" s="405" t="s">
        <v>639</v>
      </c>
      <c r="D90" s="405"/>
      <c r="E90" s="209"/>
      <c r="F90" s="91"/>
      <c r="G90" s="883"/>
      <c r="H90" s="883"/>
      <c r="I90" s="883"/>
      <c r="J90" s="883"/>
      <c r="K90" s="883"/>
      <c r="L90" s="883"/>
      <c r="M90" s="884"/>
    </row>
    <row r="91" spans="1:21" ht="7.5" hidden="1" customHeight="1" x14ac:dyDescent="0.2">
      <c r="B91" s="388"/>
      <c r="C91" s="388"/>
      <c r="D91" s="388"/>
      <c r="E91" s="388"/>
      <c r="F91" s="388"/>
      <c r="G91" s="388"/>
      <c r="M91" s="388"/>
    </row>
    <row r="92" spans="1:21" ht="18.600000000000001" customHeight="1" x14ac:dyDescent="0.2">
      <c r="B92" s="980" t="s">
        <v>596</v>
      </c>
      <c r="C92" s="980"/>
      <c r="D92" s="980"/>
      <c r="E92" s="980"/>
      <c r="F92" s="980"/>
      <c r="G92" s="307"/>
      <c r="H92" s="307"/>
      <c r="I92" s="307"/>
      <c r="J92" s="307"/>
      <c r="K92" s="307"/>
      <c r="L92" s="307"/>
      <c r="M92" s="307"/>
    </row>
    <row r="93" spans="1:21" ht="18.600000000000001" customHeight="1" x14ac:dyDescent="0.2">
      <c r="B93" s="118"/>
      <c r="C93" s="942" t="s">
        <v>602</v>
      </c>
      <c r="D93" s="946"/>
      <c r="E93" s="946"/>
      <c r="F93" s="943"/>
      <c r="G93" s="175"/>
      <c r="H93" s="876"/>
      <c r="I93" s="866">
        <f>B8_04_3ERIN</f>
        <v>0</v>
      </c>
      <c r="J93" s="876"/>
      <c r="K93" s="876"/>
      <c r="L93" s="876"/>
      <c r="M93" s="878"/>
    </row>
    <row r="94" spans="1:21" ht="18.600000000000001" customHeight="1" x14ac:dyDescent="0.2">
      <c r="B94" s="108"/>
      <c r="C94" s="947" t="s">
        <v>597</v>
      </c>
      <c r="D94" s="948"/>
      <c r="E94" s="948"/>
      <c r="F94" s="949"/>
      <c r="G94" s="170"/>
      <c r="H94" s="877"/>
      <c r="I94" s="540"/>
      <c r="J94" s="877"/>
      <c r="K94" s="877"/>
      <c r="L94" s="877"/>
      <c r="M94" s="541"/>
    </row>
    <row r="95" spans="1:21" s="239" customFormat="1" ht="18.600000000000001" customHeight="1" x14ac:dyDescent="0.2">
      <c r="A95" s="395"/>
      <c r="B95" s="96"/>
      <c r="C95" s="52"/>
      <c r="D95" s="97"/>
      <c r="E95" s="9"/>
      <c r="F95" s="9"/>
      <c r="G95" s="169"/>
      <c r="H95" s="169"/>
      <c r="I95" s="169"/>
      <c r="J95" s="169"/>
      <c r="K95" s="169"/>
      <c r="L95" s="169"/>
      <c r="M95" s="169"/>
      <c r="N95" s="9"/>
      <c r="O95" s="2"/>
      <c r="P95" s="9"/>
      <c r="Q95" s="9"/>
      <c r="R95" s="9"/>
      <c r="S95" s="303"/>
      <c r="T95" s="9"/>
      <c r="U95" s="240"/>
    </row>
    <row r="96" spans="1:21" ht="18.600000000000001" customHeight="1" x14ac:dyDescent="0.2">
      <c r="B96" s="101"/>
      <c r="C96" s="121" t="s">
        <v>66</v>
      </c>
      <c r="D96" s="976" t="s">
        <v>65</v>
      </c>
      <c r="E96" s="976"/>
      <c r="F96" s="977"/>
      <c r="G96" s="875"/>
      <c r="H96" s="875"/>
      <c r="I96" s="875"/>
      <c r="J96" s="911">
        <f>IF(J83&lt;&gt;0,+J83-I83,0)</f>
        <v>0</v>
      </c>
      <c r="K96" s="911">
        <f>IF(K83&lt;&gt;0,+K83-J83,0)</f>
        <v>0</v>
      </c>
      <c r="L96" s="911">
        <f>IF(L83&lt;&gt;0,+L83-K83,0)</f>
        <v>0</v>
      </c>
      <c r="M96" s="912">
        <f>IF(M83&lt;&gt;0,+M83-L83,0)</f>
        <v>0</v>
      </c>
    </row>
    <row r="97" spans="2:15" ht="18.75" customHeight="1" x14ac:dyDescent="0.2">
      <c r="B97" s="534">
        <v>1</v>
      </c>
      <c r="C97" s="983" t="s">
        <v>722</v>
      </c>
      <c r="D97" s="984"/>
      <c r="E97" s="985"/>
      <c r="F97" s="535" t="s">
        <v>19</v>
      </c>
      <c r="G97" s="873"/>
      <c r="H97" s="873"/>
      <c r="I97" s="873"/>
      <c r="J97" s="873"/>
      <c r="K97" s="873"/>
      <c r="L97" s="873"/>
      <c r="M97" s="874"/>
    </row>
    <row r="98" spans="2:15" ht="18.75" customHeight="1" x14ac:dyDescent="0.2">
      <c r="B98" s="534">
        <v>2</v>
      </c>
      <c r="C98" s="944" t="s">
        <v>715</v>
      </c>
      <c r="D98" s="945"/>
      <c r="E98" s="945"/>
      <c r="F98" s="535" t="s">
        <v>19</v>
      </c>
      <c r="G98" s="873"/>
      <c r="H98" s="873"/>
      <c r="I98" s="873"/>
      <c r="J98" s="873"/>
      <c r="K98" s="873"/>
      <c r="L98" s="873"/>
      <c r="M98" s="874"/>
    </row>
    <row r="99" spans="2:15" ht="18.75" customHeight="1" x14ac:dyDescent="0.2">
      <c r="B99" s="534">
        <v>3</v>
      </c>
      <c r="C99" s="944" t="s">
        <v>716</v>
      </c>
      <c r="D99" s="974"/>
      <c r="E99" s="975"/>
      <c r="F99" s="535" t="s">
        <v>19</v>
      </c>
      <c r="G99" s="873"/>
      <c r="H99" s="873"/>
      <c r="I99" s="873"/>
      <c r="J99" s="873"/>
      <c r="K99" s="873"/>
      <c r="L99" s="873"/>
      <c r="M99" s="874"/>
    </row>
    <row r="100" spans="2:15" ht="18.75" customHeight="1" x14ac:dyDescent="0.2">
      <c r="B100" s="534">
        <v>4</v>
      </c>
      <c r="C100" s="944" t="s">
        <v>717</v>
      </c>
      <c r="D100" s="974"/>
      <c r="E100" s="975"/>
      <c r="F100" s="535" t="s">
        <v>19</v>
      </c>
      <c r="G100" s="873"/>
      <c r="H100" s="873"/>
      <c r="I100" s="873"/>
      <c r="J100" s="873"/>
      <c r="K100" s="873"/>
      <c r="L100" s="873"/>
      <c r="M100" s="874"/>
    </row>
    <row r="101" spans="2:15" ht="18.75" customHeight="1" x14ac:dyDescent="0.2">
      <c r="B101" s="534">
        <v>5</v>
      </c>
      <c r="C101" s="944" t="s">
        <v>718</v>
      </c>
      <c r="D101" s="974"/>
      <c r="E101" s="975"/>
      <c r="F101" s="535" t="s">
        <v>19</v>
      </c>
      <c r="G101" s="873"/>
      <c r="H101" s="873"/>
      <c r="I101" s="873"/>
      <c r="J101" s="873"/>
      <c r="K101" s="873"/>
      <c r="L101" s="873"/>
      <c r="M101" s="874"/>
      <c r="O101" s="9"/>
    </row>
    <row r="102" spans="2:15" ht="18.75" customHeight="1" x14ac:dyDescent="0.2">
      <c r="B102" s="534">
        <v>6</v>
      </c>
      <c r="C102" s="944" t="s">
        <v>719</v>
      </c>
      <c r="D102" s="974"/>
      <c r="E102" s="975"/>
      <c r="F102" s="535" t="s">
        <v>19</v>
      </c>
      <c r="G102" s="873"/>
      <c r="H102" s="873"/>
      <c r="I102" s="873"/>
      <c r="J102" s="873"/>
      <c r="K102" s="873"/>
      <c r="L102" s="873"/>
      <c r="M102" s="874"/>
    </row>
    <row r="103" spans="2:15" ht="18.75" customHeight="1" x14ac:dyDescent="0.2">
      <c r="B103" s="534">
        <v>7</v>
      </c>
      <c r="C103" s="944" t="s">
        <v>720</v>
      </c>
      <c r="D103" s="974"/>
      <c r="E103" s="975"/>
      <c r="F103" s="535" t="s">
        <v>19</v>
      </c>
      <c r="G103" s="873"/>
      <c r="H103" s="873"/>
      <c r="I103" s="873"/>
      <c r="J103" s="873"/>
      <c r="K103" s="873"/>
      <c r="L103" s="873"/>
      <c r="M103" s="874"/>
    </row>
    <row r="104" spans="2:15" ht="18.75" customHeight="1" x14ac:dyDescent="0.2">
      <c r="B104" s="534">
        <v>8</v>
      </c>
      <c r="C104" s="944" t="s">
        <v>721</v>
      </c>
      <c r="D104" s="945"/>
      <c r="E104" s="982"/>
      <c r="F104" s="535" t="s">
        <v>19</v>
      </c>
      <c r="G104" s="873"/>
      <c r="H104" s="873"/>
      <c r="I104" s="873"/>
      <c r="J104" s="873"/>
      <c r="K104" s="873"/>
      <c r="L104" s="873"/>
      <c r="M104" s="874"/>
    </row>
    <row r="105" spans="2:15" ht="18.75" hidden="1" customHeight="1" x14ac:dyDescent="0.2">
      <c r="B105" s="534">
        <v>9</v>
      </c>
      <c r="C105" s="944" t="s">
        <v>333</v>
      </c>
      <c r="D105" s="974"/>
      <c r="E105" s="975"/>
      <c r="F105" s="538"/>
      <c r="G105" s="536"/>
      <c r="H105" s="536"/>
      <c r="I105" s="536"/>
      <c r="J105" s="536"/>
      <c r="K105" s="536"/>
      <c r="L105" s="536"/>
      <c r="M105" s="537"/>
    </row>
    <row r="106" spans="2:15" ht="18.75" customHeight="1" x14ac:dyDescent="0.2">
      <c r="B106" s="534">
        <v>9</v>
      </c>
      <c r="C106" s="981" t="s">
        <v>72</v>
      </c>
      <c r="D106" s="974"/>
      <c r="E106" s="974"/>
      <c r="F106" s="535" t="s">
        <v>19</v>
      </c>
      <c r="G106" s="873"/>
      <c r="H106" s="873"/>
      <c r="I106" s="873"/>
      <c r="J106" s="915">
        <f>IF(J81&lt;&gt;0,+I81*((Index!D29-Index!D28)/Index!D28),0)</f>
        <v>0</v>
      </c>
      <c r="K106" s="915">
        <f>IF(K81&lt;&gt;0,+J81*((Index!D30-Index!D29)/Index!D29),0)</f>
        <v>0</v>
      </c>
      <c r="L106" s="915">
        <f>IF(L81&lt;&gt;0,+K81*((Index!D31-Index!D30)/Index!D30),0)</f>
        <v>0</v>
      </c>
      <c r="M106" s="916">
        <f>IF(M81&lt;&gt;0,+L81*((Index!D32-Index!D31)/Index!D31),0)</f>
        <v>0</v>
      </c>
    </row>
    <row r="107" spans="2:15" ht="18.75" customHeight="1" x14ac:dyDescent="0.2">
      <c r="B107" s="122"/>
      <c r="C107" s="972" t="s">
        <v>108</v>
      </c>
      <c r="D107" s="973"/>
      <c r="E107" s="973"/>
      <c r="F107" s="30" t="s">
        <v>19</v>
      </c>
      <c r="G107" s="866">
        <f>SUM(G97:G106)</f>
        <v>0</v>
      </c>
      <c r="H107" s="866">
        <f t="shared" ref="H107:M107" si="7">SUM(H97:H106)</f>
        <v>0</v>
      </c>
      <c r="I107" s="866">
        <f t="shared" si="7"/>
        <v>0</v>
      </c>
      <c r="J107" s="866">
        <f t="shared" si="7"/>
        <v>0</v>
      </c>
      <c r="K107" s="866">
        <f t="shared" si="7"/>
        <v>0</v>
      </c>
      <c r="L107" s="866">
        <f t="shared" si="7"/>
        <v>0</v>
      </c>
      <c r="M107" s="868">
        <f t="shared" si="7"/>
        <v>0</v>
      </c>
    </row>
    <row r="108" spans="2:15" ht="18.75" customHeight="1" x14ac:dyDescent="0.2">
      <c r="B108" s="122"/>
      <c r="C108" s="972" t="s">
        <v>344</v>
      </c>
      <c r="D108" s="973"/>
      <c r="E108" s="973"/>
      <c r="F108" s="30" t="s">
        <v>19</v>
      </c>
      <c r="G108" s="866">
        <f t="shared" ref="G108:M108" si="8">G96-G107</f>
        <v>0</v>
      </c>
      <c r="H108" s="866">
        <f t="shared" si="8"/>
        <v>0</v>
      </c>
      <c r="I108" s="866">
        <f t="shared" si="8"/>
        <v>0</v>
      </c>
      <c r="J108" s="866">
        <f t="shared" si="8"/>
        <v>0</v>
      </c>
      <c r="K108" s="866">
        <f t="shared" si="8"/>
        <v>0</v>
      </c>
      <c r="L108" s="866">
        <f t="shared" si="8"/>
        <v>0</v>
      </c>
      <c r="M108" s="868">
        <f t="shared" si="8"/>
        <v>0</v>
      </c>
    </row>
    <row r="109" spans="2:15" ht="18.75" customHeight="1" x14ac:dyDescent="0.2">
      <c r="B109" s="122"/>
      <c r="C109" s="972" t="s">
        <v>109</v>
      </c>
      <c r="D109" s="973"/>
      <c r="E109" s="973"/>
      <c r="F109" s="30" t="s">
        <v>19</v>
      </c>
      <c r="G109" s="866">
        <f t="shared" ref="G109:M109" si="9">G107+G108</f>
        <v>0</v>
      </c>
      <c r="H109" s="866">
        <f t="shared" si="9"/>
        <v>0</v>
      </c>
      <c r="I109" s="866">
        <f t="shared" si="9"/>
        <v>0</v>
      </c>
      <c r="J109" s="866">
        <f t="shared" si="9"/>
        <v>0</v>
      </c>
      <c r="K109" s="866">
        <f t="shared" si="9"/>
        <v>0</v>
      </c>
      <c r="L109" s="866">
        <f t="shared" si="9"/>
        <v>0</v>
      </c>
      <c r="M109" s="868">
        <f t="shared" si="9"/>
        <v>0</v>
      </c>
    </row>
    <row r="110" spans="2:15" ht="18.75" customHeight="1" x14ac:dyDescent="0.2">
      <c r="B110" s="123"/>
      <c r="C110" s="124"/>
      <c r="D110" s="124"/>
      <c r="E110" s="125" t="s">
        <v>73</v>
      </c>
      <c r="F110" s="126" t="s">
        <v>61</v>
      </c>
      <c r="G110" s="919" t="str">
        <f t="shared" ref="G110:M110" si="10">IF(G96=0," ",G107/G109)</f>
        <v xml:space="preserve"> </v>
      </c>
      <c r="H110" s="920" t="str">
        <f t="shared" si="10"/>
        <v xml:space="preserve"> </v>
      </c>
      <c r="I110" s="920" t="str">
        <f t="shared" si="10"/>
        <v xml:space="preserve"> </v>
      </c>
      <c r="J110" s="920" t="str">
        <f t="shared" si="10"/>
        <v xml:space="preserve"> </v>
      </c>
      <c r="K110" s="920" t="str">
        <f t="shared" si="10"/>
        <v xml:space="preserve"> </v>
      </c>
      <c r="L110" s="920" t="str">
        <f t="shared" si="10"/>
        <v xml:space="preserve"> </v>
      </c>
      <c r="M110" s="921" t="str">
        <f t="shared" si="10"/>
        <v xml:space="preserve"> </v>
      </c>
    </row>
    <row r="112" spans="2:15" x14ac:dyDescent="0.2">
      <c r="J112" s="146"/>
    </row>
    <row r="113" spans="1:20" ht="15" x14ac:dyDescent="0.2">
      <c r="A113" s="333"/>
      <c r="E113" s="334"/>
      <c r="F113" s="334"/>
    </row>
    <row r="114" spans="1:20" ht="15" x14ac:dyDescent="0.2">
      <c r="A114" s="333"/>
      <c r="E114" s="334"/>
      <c r="F114" s="334"/>
    </row>
    <row r="115" spans="1:20" ht="15" x14ac:dyDescent="0.2">
      <c r="A115" s="333"/>
      <c r="E115" s="334"/>
      <c r="F115" s="334"/>
    </row>
    <row r="116" spans="1:20" ht="15" x14ac:dyDescent="0.2">
      <c r="A116" s="333"/>
      <c r="E116" s="334"/>
      <c r="F116" s="334"/>
    </row>
    <row r="117" spans="1:20" ht="15" x14ac:dyDescent="0.2">
      <c r="A117" s="333"/>
      <c r="E117" s="334"/>
      <c r="F117" s="334"/>
    </row>
    <row r="118" spans="1:20" x14ac:dyDescent="0.2">
      <c r="E118" s="334"/>
      <c r="F118" s="334"/>
    </row>
    <row r="119" spans="1:20" x14ac:dyDescent="0.2">
      <c r="E119" s="334"/>
      <c r="F119" s="334"/>
      <c r="P119" s="240"/>
      <c r="R119" s="240"/>
      <c r="T119" s="240"/>
    </row>
    <row r="120" spans="1:20" x14ac:dyDescent="0.2">
      <c r="P120" s="240"/>
      <c r="R120" s="240"/>
      <c r="T120" s="240"/>
    </row>
    <row r="121" spans="1:20" x14ac:dyDescent="0.2">
      <c r="P121" s="240"/>
      <c r="R121" s="240"/>
      <c r="T121" s="240"/>
    </row>
    <row r="122" spans="1:20" x14ac:dyDescent="0.2">
      <c r="P122" s="240"/>
      <c r="R122" s="240"/>
      <c r="T122" s="240"/>
    </row>
    <row r="123" spans="1:20" x14ac:dyDescent="0.2">
      <c r="P123" s="240"/>
      <c r="Q123" s="240"/>
      <c r="R123" s="240"/>
      <c r="T123" s="240"/>
    </row>
    <row r="124" spans="1:20" x14ac:dyDescent="0.2">
      <c r="Q124" s="240"/>
    </row>
    <row r="125" spans="1:20" x14ac:dyDescent="0.2">
      <c r="Q125" s="240"/>
    </row>
    <row r="126" spans="1:20" x14ac:dyDescent="0.2">
      <c r="Q126" s="240"/>
    </row>
    <row r="127" spans="1:20" x14ac:dyDescent="0.2">
      <c r="Q127" s="240"/>
    </row>
    <row r="130" spans="15:15" x14ac:dyDescent="0.2">
      <c r="O130" s="240"/>
    </row>
    <row r="131" spans="15:15" x14ac:dyDescent="0.2">
      <c r="O131" s="240"/>
    </row>
    <row r="132" spans="15:15" x14ac:dyDescent="0.2">
      <c r="O132" s="240"/>
    </row>
    <row r="133" spans="15:15" x14ac:dyDescent="0.2">
      <c r="O133" s="240"/>
    </row>
    <row r="134" spans="15:15" x14ac:dyDescent="0.2">
      <c r="O134" s="240"/>
    </row>
  </sheetData>
  <sheetProtection selectLockedCells="1"/>
  <customSheetViews>
    <customSheetView guid="{1B6E5C62-D61A-47DD-A4A2-485ADD59D1CD}" scale="110" showPageBreaks="1" printArea="1" hiddenRows="1" hiddenColumns="1">
      <selection activeCell="G3" sqref="G3"/>
      <pageMargins left="0.39370078740157483" right="0.39370078740157483" top="0.98425196850393704" bottom="0.78740157480314965" header="0.39370078740157483" footer="0.39370078740157483"/>
      <pageSetup paperSize="9" orientation="landscape" r:id="rId1"/>
      <headerFooter alignWithMargins="0">
        <oddHeader>&amp;L&amp;G</oddHeader>
        <oddFooter>&amp;L&amp;8&amp;G&amp;C&amp;6                                                &amp;D/&amp;F&amp;R&amp;7&amp;G</oddFooter>
      </headerFooter>
    </customSheetView>
    <customSheetView guid="{1E00AB2B-C042-4EFC-A145-7C4B4752408A}" scale="110" showPageBreaks="1" printArea="1" hiddenRows="1" hiddenColumns="1">
      <selection activeCell="K3" sqref="K3"/>
      <pageMargins left="0.39370078740157483" right="0.39370078740157483" top="0.98425196850393704" bottom="0.78740157480314965" header="0.39370078740157483" footer="0.39370078740157483"/>
      <pageSetup paperSize="9" orientation="landscape" r:id="rId2"/>
      <headerFooter alignWithMargins="0">
        <oddHeader>&amp;L&amp;G</oddHeader>
        <oddFooter>&amp;L&amp;8&amp;G&amp;C&amp;6                                                &amp;D/&amp;F&amp;R&amp;7&amp;G</oddFooter>
      </headerFooter>
    </customSheetView>
  </customSheetViews>
  <mergeCells count="30">
    <mergeCell ref="C109:E109"/>
    <mergeCell ref="C100:E100"/>
    <mergeCell ref="D96:F96"/>
    <mergeCell ref="C79:D79"/>
    <mergeCell ref="C101:E101"/>
    <mergeCell ref="C107:E107"/>
    <mergeCell ref="C102:E102"/>
    <mergeCell ref="C108:E108"/>
    <mergeCell ref="C99:E99"/>
    <mergeCell ref="B92:F92"/>
    <mergeCell ref="C106:E106"/>
    <mergeCell ref="C104:E104"/>
    <mergeCell ref="C105:E105"/>
    <mergeCell ref="C103:E103"/>
    <mergeCell ref="C97:E97"/>
    <mergeCell ref="C76:D76"/>
    <mergeCell ref="C98:E98"/>
    <mergeCell ref="C93:F93"/>
    <mergeCell ref="C94:F94"/>
    <mergeCell ref="G4:M4"/>
    <mergeCell ref="B52:D52"/>
    <mergeCell ref="B53:D53"/>
    <mergeCell ref="B51:D51"/>
    <mergeCell ref="B56:D56"/>
    <mergeCell ref="B11:D11"/>
    <mergeCell ref="C34:D34"/>
    <mergeCell ref="C32:D32"/>
    <mergeCell ref="B4:F4"/>
    <mergeCell ref="B22:D22"/>
    <mergeCell ref="B40:D40"/>
  </mergeCells>
  <phoneticPr fontId="0" type="noConversion"/>
  <conditionalFormatting sqref="J106:M106 J96:M96">
    <cfRule type="cellIs" dxfId="27" priority="6" stopIfTrue="1" operator="equal">
      <formula>0</formula>
    </cfRule>
  </conditionalFormatting>
  <dataValidations count="5">
    <dataValidation type="list" allowBlank="1" showInputMessage="1" showErrorMessage="1" sqref="G7">
      <formula1>$Q$7:$Q$14</formula1>
    </dataValidation>
    <dataValidation type="list" allowBlank="1" showInputMessage="1" showErrorMessage="1" sqref="G6:M6">
      <formula1>$O$7:$O$24</formula1>
    </dataValidation>
    <dataValidation type="list" allowBlank="1" showInputMessage="1" showErrorMessage="1" sqref="G5:M5">
      <formula1>$S$7:$S$61</formula1>
    </dataValidation>
    <dataValidation type="list" allowBlank="1" showInputMessage="1" showErrorMessage="1" sqref="H7:M7">
      <formula1>$Q$7:$Q$21</formula1>
    </dataValidation>
    <dataValidation type="list" allowBlank="1" showInputMessage="1" showErrorMessage="1" sqref="G11:M11">
      <formula1>$U$7:$U$36</formula1>
    </dataValidation>
  </dataValidations>
  <pageMargins left="0.39370078740157483" right="0.39370078740157483" top="0.98425196850393704" bottom="0.78740157480314965" header="0.39370078740157483" footer="0.39370078740157483"/>
  <pageSetup paperSize="8" scale="86" orientation="landscape" r:id="rId3"/>
  <headerFooter alignWithMargins="0">
    <oddHeader>&amp;L&amp;G</oddHeader>
    <oddFooter>&amp;L&amp;8&amp;G&amp;C&amp;6                                                &amp;D/&amp;F&amp;R&amp;7&amp;G</oddFooter>
  </headerFooter>
  <rowBreaks count="1" manualBreakCount="1">
    <brk id="56" max="12" man="1"/>
  </rowBreaks>
  <ignoredErrors>
    <ignoredError sqref="L61:M61" formulaRange="1"/>
  </ignoredErrors>
  <legacyDrawing r:id="rId4"/>
  <legacyDrawingHF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00"/>
  </sheetPr>
  <dimension ref="A1:IV160"/>
  <sheetViews>
    <sheetView showGridLines="0" showRuler="0" zoomScaleNormal="100" workbookViewId="0">
      <selection activeCell="D5" sqref="D5:L5"/>
    </sheetView>
  </sheetViews>
  <sheetFormatPr baseColWidth="10" defaultColWidth="11.42578125" defaultRowHeight="12" customHeight="1" outlineLevelRow="1" outlineLevelCol="1" x14ac:dyDescent="0.2"/>
  <cols>
    <col min="1" max="1" width="2.7109375" style="242" customWidth="1"/>
    <col min="2" max="2" width="3.5703125" style="2" customWidth="1"/>
    <col min="3" max="3" width="35" style="2" customWidth="1"/>
    <col min="4" max="4" width="5.42578125" style="9" customWidth="1"/>
    <col min="5" max="5" width="5.7109375" style="2" customWidth="1"/>
    <col min="6" max="6" width="5" style="2" customWidth="1"/>
    <col min="7" max="7" width="10.5703125" style="2" bestFit="1" customWidth="1"/>
    <col min="8" max="9" width="10.5703125" style="2" customWidth="1"/>
    <col min="10" max="11" width="10.28515625" style="2" customWidth="1"/>
    <col min="12" max="12" width="32.85546875" style="9" customWidth="1"/>
    <col min="13" max="13" width="10" style="9" customWidth="1"/>
    <col min="14" max="14" width="3.28515625" style="9" customWidth="1"/>
    <col min="15" max="18" width="11.7109375" style="241" hidden="1" customWidth="1" outlineLevel="1"/>
    <col min="19" max="22" width="11.7109375" style="9" hidden="1" customWidth="1" outlineLevel="1"/>
    <col min="23" max="23" width="14.28515625" style="239" hidden="1" customWidth="1" outlineLevel="1"/>
    <col min="24" max="26" width="11.7109375" style="239" hidden="1" customWidth="1" outlineLevel="1"/>
    <col min="27" max="27" width="26.140625" style="491" hidden="1" customWidth="1" outlineLevel="1"/>
    <col min="28" max="28" width="11.7109375" style="491" hidden="1" customWidth="1" outlineLevel="1"/>
    <col min="29" max="29" width="21.140625" style="491" hidden="1" customWidth="1" outlineLevel="1"/>
    <col min="30" max="37" width="11.7109375" style="491" hidden="1" customWidth="1" outlineLevel="1"/>
    <col min="38" max="54" width="11.7109375" style="239" hidden="1" customWidth="1" outlineLevel="1"/>
    <col min="55" max="55" width="11.7109375" style="239" customWidth="1" collapsed="1"/>
    <col min="56" max="146" width="11.7109375" style="239" customWidth="1"/>
    <col min="147" max="251" width="11.42578125" style="239"/>
    <col min="252" max="254" width="11.42578125" style="491"/>
    <col min="255" max="255" width="1.5703125" style="491" customWidth="1"/>
    <col min="256" max="256" width="0.42578125" style="491" customWidth="1"/>
    <col min="257" max="16384" width="11.42578125" style="239"/>
  </cols>
  <sheetData>
    <row r="1" spans="1:256" ht="11.25" customHeight="1" x14ac:dyDescent="0.2">
      <c r="A1" s="242" t="s">
        <v>625</v>
      </c>
      <c r="B1" s="3" t="s">
        <v>331</v>
      </c>
      <c r="O1" s="344"/>
      <c r="P1" s="344"/>
      <c r="Q1" s="344"/>
      <c r="R1" s="344"/>
      <c r="W1" s="532"/>
      <c r="AA1" s="492" t="s">
        <v>541</v>
      </c>
      <c r="AB1" s="493"/>
      <c r="AC1" s="492" t="s">
        <v>541</v>
      </c>
      <c r="AD1" s="494"/>
      <c r="AE1" s="380"/>
      <c r="AF1" s="495" t="str">
        <f>AA1</f>
        <v>20Baugrube</v>
      </c>
      <c r="AG1" s="380"/>
      <c r="AH1" s="380"/>
      <c r="AI1" s="380"/>
      <c r="AJ1" s="380"/>
      <c r="AK1" s="380"/>
      <c r="AL1" s="380"/>
      <c r="AM1" s="380"/>
      <c r="AN1" s="380"/>
      <c r="AO1" s="380"/>
      <c r="AP1" s="380"/>
      <c r="AQ1" s="380"/>
      <c r="AR1" s="380"/>
    </row>
    <row r="2" spans="1:256" ht="11.25" customHeight="1" x14ac:dyDescent="0.2">
      <c r="B2" s="3" t="s">
        <v>287</v>
      </c>
      <c r="O2" s="344"/>
      <c r="P2" s="344"/>
      <c r="Q2" s="344"/>
      <c r="R2" s="344"/>
      <c r="W2" s="532"/>
      <c r="AA2" s="526"/>
      <c r="AB2" s="986"/>
      <c r="AC2" s="986"/>
      <c r="AD2" s="986"/>
      <c r="AE2" s="986"/>
      <c r="AF2" s="986"/>
      <c r="AG2" s="986"/>
      <c r="AH2" s="986"/>
      <c r="AI2" s="526"/>
      <c r="AJ2" s="526"/>
      <c r="AK2" s="526"/>
      <c r="AL2" s="380"/>
      <c r="AM2" s="380"/>
      <c r="AN2" s="380"/>
      <c r="AO2" s="380"/>
      <c r="AP2" s="380"/>
      <c r="AQ2" s="380"/>
      <c r="AR2" s="380"/>
    </row>
    <row r="3" spans="1:256" ht="11.25" customHeight="1" x14ac:dyDescent="0.2">
      <c r="B3" s="3"/>
      <c r="O3" s="344"/>
      <c r="P3" s="344"/>
      <c r="Q3" s="344"/>
      <c r="R3" s="344"/>
      <c r="W3" s="532"/>
      <c r="AA3" s="354" t="s">
        <v>428</v>
      </c>
      <c r="AB3" s="354"/>
      <c r="AC3" s="354" t="s">
        <v>427</v>
      </c>
      <c r="AD3" s="352"/>
      <c r="AE3" s="380"/>
      <c r="AF3" s="380" t="str">
        <f>IF($BB$18&lt;=1,AA3,IF($BB$18&gt;=1000,$AT$20,AC3))</f>
        <v>Eingriffstiefe angeben</v>
      </c>
      <c r="AG3" s="380"/>
      <c r="AH3" s="380"/>
      <c r="AI3" s="380"/>
      <c r="AJ3" s="380"/>
      <c r="AK3" s="380"/>
      <c r="AL3" s="380"/>
      <c r="AM3" s="380"/>
      <c r="AN3" s="380"/>
      <c r="AO3" s="380"/>
      <c r="AP3" s="380"/>
      <c r="AQ3" s="380"/>
      <c r="AR3" s="380"/>
    </row>
    <row r="4" spans="1:256" s="31" customFormat="1" ht="11.25" customHeight="1" x14ac:dyDescent="0.2">
      <c r="A4" s="242"/>
      <c r="B4" s="1024"/>
      <c r="C4" s="942" t="s">
        <v>709</v>
      </c>
      <c r="D4" s="943"/>
      <c r="E4" s="102" t="s">
        <v>574</v>
      </c>
      <c r="F4" s="102" t="s">
        <v>4</v>
      </c>
      <c r="G4" s="1006"/>
      <c r="H4" s="1007"/>
      <c r="I4" s="1007"/>
      <c r="J4" s="1007"/>
      <c r="K4" s="1007"/>
      <c r="L4" s="1007"/>
      <c r="M4" s="1008"/>
      <c r="N4" s="531"/>
      <c r="O4" s="531" t="s">
        <v>745</v>
      </c>
      <c r="P4" s="531"/>
      <c r="Q4" s="531"/>
      <c r="R4" s="531" t="s">
        <v>749</v>
      </c>
      <c r="S4" s="531"/>
      <c r="T4" s="531" t="s">
        <v>754</v>
      </c>
      <c r="U4" s="527"/>
      <c r="V4" s="527"/>
      <c r="W4" s="532"/>
      <c r="X4" s="527"/>
      <c r="Y4" s="527"/>
      <c r="Z4" s="527"/>
      <c r="AA4" s="381" t="s">
        <v>429</v>
      </c>
      <c r="AB4" s="381"/>
      <c r="AC4" s="381" t="s">
        <v>464</v>
      </c>
      <c r="AD4" s="511"/>
      <c r="AE4" s="503"/>
      <c r="AF4" s="503" t="str">
        <f t="shared" ref="AF4:AF67" si="0">IF($BB$18&lt;=1,AA4,IF($BB$18&gt;=1000,$AT$20,AC4))</f>
        <v>Eingriffstiefe angeben</v>
      </c>
      <c r="AG4" s="503"/>
      <c r="AH4" s="503"/>
      <c r="AI4" s="503"/>
      <c r="AJ4" s="503"/>
      <c r="AK4" s="503"/>
      <c r="AL4" s="527"/>
      <c r="AM4" s="527"/>
      <c r="AN4" s="527"/>
      <c r="AO4" s="527"/>
      <c r="AP4" s="990"/>
      <c r="AQ4" s="990"/>
      <c r="AR4" s="990"/>
      <c r="AS4" s="990"/>
      <c r="AT4" s="990"/>
      <c r="AU4" s="990"/>
      <c r="AV4" s="990"/>
      <c r="AW4" s="990"/>
      <c r="AX4" s="990"/>
      <c r="AY4" s="990"/>
      <c r="AZ4" s="990"/>
      <c r="BA4" s="990"/>
      <c r="BB4" s="990"/>
      <c r="BC4" s="990"/>
      <c r="BD4" s="990"/>
      <c r="BE4" s="990"/>
      <c r="BF4" s="990"/>
      <c r="BG4" s="990"/>
      <c r="BH4" s="990"/>
      <c r="BI4" s="990"/>
      <c r="BJ4" s="990"/>
      <c r="BK4" s="990"/>
      <c r="BL4" s="990"/>
      <c r="BM4" s="990"/>
      <c r="BN4" s="990"/>
      <c r="BO4" s="990"/>
      <c r="BP4" s="990"/>
      <c r="BQ4" s="990"/>
      <c r="BR4" s="990"/>
      <c r="BS4" s="990"/>
      <c r="BT4" s="990"/>
      <c r="BU4" s="990"/>
      <c r="BV4" s="990"/>
      <c r="BW4" s="990"/>
      <c r="BX4" s="990"/>
      <c r="BY4" s="986"/>
      <c r="BZ4" s="986"/>
      <c r="CA4" s="986"/>
      <c r="CB4" s="986"/>
      <c r="CC4" s="986"/>
      <c r="CD4" s="986"/>
      <c r="CE4" s="986"/>
      <c r="CF4" s="986"/>
      <c r="CG4" s="986"/>
      <c r="CH4" s="986"/>
      <c r="CI4" s="986"/>
      <c r="CJ4" s="986"/>
      <c r="CK4" s="986"/>
      <c r="CL4" s="986"/>
      <c r="CM4" s="986"/>
      <c r="CN4" s="986"/>
      <c r="CO4" s="986"/>
      <c r="CP4" s="986"/>
      <c r="CQ4" s="986"/>
      <c r="CR4" s="986"/>
      <c r="CS4" s="986"/>
      <c r="CT4" s="986"/>
      <c r="CU4" s="986"/>
      <c r="CV4" s="986"/>
      <c r="CW4" s="986"/>
      <c r="CX4" s="986"/>
      <c r="CY4" s="986"/>
      <c r="CZ4" s="986"/>
      <c r="DA4" s="986"/>
      <c r="DB4" s="986"/>
      <c r="DC4" s="986"/>
      <c r="DD4" s="986"/>
      <c r="DE4" s="986"/>
      <c r="DF4" s="986"/>
      <c r="DG4" s="986"/>
      <c r="DH4" s="986"/>
      <c r="DI4" s="986"/>
      <c r="DJ4" s="986"/>
      <c r="DK4" s="986"/>
      <c r="DL4" s="986"/>
      <c r="DM4" s="986"/>
      <c r="DN4" s="986"/>
      <c r="DO4" s="986"/>
      <c r="DP4" s="986"/>
      <c r="DQ4" s="986"/>
      <c r="DR4" s="986"/>
      <c r="DS4" s="986"/>
      <c r="DT4" s="986"/>
      <c r="DU4" s="986"/>
      <c r="DV4" s="986"/>
      <c r="DW4" s="986"/>
      <c r="DX4" s="986"/>
      <c r="DY4" s="986"/>
      <c r="DZ4" s="986"/>
      <c r="EA4" s="986"/>
      <c r="EB4" s="986"/>
      <c r="EC4" s="986"/>
      <c r="ED4" s="986"/>
      <c r="EE4" s="986"/>
      <c r="EF4" s="986"/>
      <c r="EG4" s="986"/>
      <c r="EH4" s="986"/>
      <c r="EI4" s="986"/>
      <c r="EJ4" s="986"/>
      <c r="EK4" s="986"/>
      <c r="EL4" s="986"/>
      <c r="EM4" s="986"/>
      <c r="EN4" s="986"/>
      <c r="EO4" s="986"/>
      <c r="EP4" s="986"/>
      <c r="EQ4" s="986"/>
      <c r="ER4" s="986"/>
      <c r="ES4" s="986"/>
      <c r="ET4" s="986"/>
      <c r="EU4" s="986"/>
      <c r="EV4" s="986"/>
      <c r="EW4" s="986"/>
      <c r="EX4" s="986"/>
      <c r="EY4" s="986"/>
      <c r="EZ4" s="986"/>
      <c r="FA4" s="986"/>
      <c r="FB4" s="986"/>
      <c r="FC4" s="986"/>
      <c r="FD4" s="986"/>
      <c r="FE4" s="986"/>
      <c r="FF4" s="986"/>
      <c r="FG4" s="986"/>
      <c r="FH4" s="986"/>
      <c r="FI4" s="986"/>
      <c r="FJ4" s="986"/>
      <c r="FK4" s="986"/>
      <c r="FL4" s="986"/>
      <c r="FM4" s="986"/>
      <c r="FN4" s="986"/>
      <c r="FO4" s="986"/>
      <c r="FP4" s="986"/>
      <c r="FQ4" s="986"/>
      <c r="FR4" s="986"/>
      <c r="FS4" s="986"/>
      <c r="FT4" s="986"/>
      <c r="FU4" s="986"/>
      <c r="FV4" s="986"/>
      <c r="FW4" s="986"/>
      <c r="FX4" s="986"/>
      <c r="FY4" s="986"/>
      <c r="FZ4" s="986"/>
      <c r="GA4" s="986"/>
      <c r="GB4" s="986"/>
      <c r="GC4" s="986"/>
      <c r="GD4" s="986"/>
      <c r="GE4" s="986"/>
      <c r="GF4" s="986"/>
      <c r="GG4" s="986"/>
      <c r="GH4" s="986"/>
      <c r="GI4" s="986"/>
      <c r="GJ4" s="986"/>
      <c r="GK4" s="986"/>
      <c r="GL4" s="986"/>
      <c r="GM4" s="986"/>
      <c r="GN4" s="986"/>
      <c r="GO4" s="986"/>
      <c r="GP4" s="986"/>
      <c r="GQ4" s="986"/>
      <c r="GR4" s="986"/>
      <c r="GS4" s="986"/>
      <c r="GT4" s="986"/>
      <c r="GU4" s="986"/>
      <c r="GV4" s="986"/>
      <c r="GW4" s="986"/>
      <c r="GX4" s="986"/>
      <c r="GY4" s="986"/>
      <c r="GZ4" s="986"/>
      <c r="HA4" s="986"/>
      <c r="HB4" s="986"/>
      <c r="HC4" s="986"/>
      <c r="HD4" s="986"/>
      <c r="HE4" s="986"/>
      <c r="HF4" s="986"/>
      <c r="HG4" s="986"/>
      <c r="HH4" s="986"/>
      <c r="HI4" s="986"/>
      <c r="HJ4" s="986"/>
      <c r="HK4" s="986"/>
      <c r="HL4" s="986"/>
      <c r="HM4" s="986"/>
      <c r="HN4" s="986"/>
      <c r="HO4" s="986"/>
      <c r="HP4" s="986"/>
      <c r="HQ4" s="986"/>
      <c r="HR4" s="986"/>
      <c r="HS4" s="986"/>
      <c r="HT4" s="986"/>
      <c r="HU4" s="986"/>
      <c r="HV4" s="986"/>
      <c r="HW4" s="986"/>
      <c r="HX4" s="986"/>
      <c r="HY4" s="986"/>
      <c r="HZ4" s="986"/>
      <c r="IA4" s="986"/>
      <c r="IB4" s="986"/>
      <c r="IC4" s="986"/>
      <c r="ID4" s="986"/>
      <c r="IE4" s="986"/>
      <c r="IF4" s="986"/>
      <c r="IG4" s="986"/>
      <c r="IH4" s="986"/>
      <c r="II4" s="986"/>
      <c r="IJ4" s="986"/>
      <c r="IK4" s="986"/>
      <c r="IL4" s="986"/>
      <c r="IM4" s="986"/>
      <c r="IN4" s="986"/>
      <c r="IO4" s="986"/>
      <c r="IP4" s="986"/>
      <c r="IQ4" s="986"/>
      <c r="IR4" s="490"/>
      <c r="IS4" s="490"/>
      <c r="IT4" s="490"/>
      <c r="IU4" s="490"/>
      <c r="IV4" s="490"/>
    </row>
    <row r="5" spans="1:256" ht="11.25" customHeight="1" x14ac:dyDescent="0.2">
      <c r="B5" s="1025"/>
      <c r="C5" s="1027" t="s">
        <v>746</v>
      </c>
      <c r="D5" s="1028"/>
      <c r="E5" s="4" t="s">
        <v>575</v>
      </c>
      <c r="F5" s="4" t="s">
        <v>7</v>
      </c>
      <c r="G5" s="987"/>
      <c r="H5" s="988"/>
      <c r="I5" s="988"/>
      <c r="J5" s="988"/>
      <c r="K5" s="988"/>
      <c r="L5" s="988"/>
      <c r="M5" s="989"/>
      <c r="O5" s="531" t="s">
        <v>710</v>
      </c>
      <c r="P5" s="344"/>
      <c r="Q5" s="344"/>
      <c r="R5" s="531" t="s">
        <v>750</v>
      </c>
      <c r="T5" s="531" t="s">
        <v>755</v>
      </c>
      <c r="W5" s="532"/>
      <c r="AA5" s="354" t="s">
        <v>430</v>
      </c>
      <c r="AB5" s="354"/>
      <c r="AC5" s="354" t="s">
        <v>531</v>
      </c>
      <c r="AD5" s="352"/>
      <c r="AE5" s="380"/>
      <c r="AF5" s="380" t="str">
        <f t="shared" si="0"/>
        <v>Eingriffstiefe angeben</v>
      </c>
      <c r="AG5" s="380"/>
      <c r="AH5" s="380"/>
      <c r="AI5" s="380"/>
      <c r="AJ5" s="380"/>
      <c r="AK5" s="380"/>
      <c r="AL5" s="380"/>
      <c r="AM5" s="380"/>
      <c r="AN5" s="380"/>
      <c r="AO5" s="380"/>
      <c r="AP5" s="380"/>
      <c r="AQ5" s="380"/>
      <c r="AR5" s="380"/>
    </row>
    <row r="6" spans="1:256" ht="11.25" customHeight="1" x14ac:dyDescent="0.2">
      <c r="B6" s="1025"/>
      <c r="C6" s="1027" t="s">
        <v>747</v>
      </c>
      <c r="D6" s="1028"/>
      <c r="E6" s="4" t="s">
        <v>634</v>
      </c>
      <c r="F6" s="4" t="s">
        <v>7</v>
      </c>
      <c r="G6" s="987"/>
      <c r="H6" s="988"/>
      <c r="I6" s="988"/>
      <c r="J6" s="988"/>
      <c r="K6" s="988"/>
      <c r="L6" s="988"/>
      <c r="M6" s="989"/>
      <c r="O6" s="531" t="s">
        <v>711</v>
      </c>
      <c r="P6" s="344"/>
      <c r="Q6" s="344"/>
      <c r="R6" s="531" t="s">
        <v>751</v>
      </c>
      <c r="T6" s="531" t="s">
        <v>756</v>
      </c>
      <c r="W6" s="532"/>
      <c r="AA6" s="354" t="s">
        <v>528</v>
      </c>
      <c r="AB6" s="354"/>
      <c r="AC6" s="354" t="s">
        <v>416</v>
      </c>
      <c r="AD6" s="352"/>
      <c r="AE6" s="380"/>
      <c r="AF6" s="380" t="str">
        <f t="shared" si="0"/>
        <v>Eingriffstiefe angeben</v>
      </c>
      <c r="AG6" s="380"/>
      <c r="AH6" s="380"/>
      <c r="AI6" s="380"/>
      <c r="AJ6" s="380"/>
      <c r="AK6" s="380"/>
      <c r="AL6" s="380"/>
      <c r="AM6" s="380"/>
      <c r="AN6" s="380"/>
      <c r="AO6" s="380"/>
      <c r="AP6" s="380"/>
      <c r="AQ6" s="380"/>
      <c r="AR6" s="380"/>
    </row>
    <row r="7" spans="1:256" ht="11.25" customHeight="1" x14ac:dyDescent="0.2">
      <c r="B7" s="1025"/>
      <c r="C7" s="1027" t="s">
        <v>748</v>
      </c>
      <c r="D7" s="1028"/>
      <c r="E7" s="4" t="s">
        <v>635</v>
      </c>
      <c r="F7" s="4" t="s">
        <v>7</v>
      </c>
      <c r="G7" s="987"/>
      <c r="H7" s="988"/>
      <c r="I7" s="988"/>
      <c r="J7" s="988"/>
      <c r="K7" s="988"/>
      <c r="L7" s="988"/>
      <c r="M7" s="989"/>
      <c r="O7" s="531" t="s">
        <v>712</v>
      </c>
      <c r="P7" s="344"/>
      <c r="Q7" s="344"/>
      <c r="R7" s="531" t="s">
        <v>752</v>
      </c>
      <c r="T7" s="531" t="s">
        <v>757</v>
      </c>
      <c r="W7" s="532"/>
      <c r="AA7" s="354" t="s">
        <v>506</v>
      </c>
      <c r="AB7" s="355"/>
      <c r="AC7" s="354" t="s">
        <v>416</v>
      </c>
      <c r="AD7" s="352"/>
      <c r="AE7" s="380"/>
      <c r="AF7" s="380" t="str">
        <f t="shared" si="0"/>
        <v>Eingriffstiefe angeben</v>
      </c>
      <c r="AG7" s="380"/>
      <c r="AH7" s="380"/>
      <c r="AI7" s="380"/>
      <c r="AJ7" s="380"/>
      <c r="AK7" s="380"/>
      <c r="AL7" s="380"/>
      <c r="AM7" s="380"/>
      <c r="AN7" s="380"/>
      <c r="AO7" s="380"/>
      <c r="AP7" s="380"/>
      <c r="AQ7" s="380"/>
      <c r="AR7" s="380"/>
    </row>
    <row r="8" spans="1:256" ht="11.25" customHeight="1" x14ac:dyDescent="0.2">
      <c r="B8" s="1026"/>
      <c r="C8" s="947" t="s">
        <v>640</v>
      </c>
      <c r="D8" s="949"/>
      <c r="E8" s="18"/>
      <c r="F8" s="18" t="s">
        <v>7</v>
      </c>
      <c r="G8" s="991"/>
      <c r="H8" s="992"/>
      <c r="I8" s="992"/>
      <c r="J8" s="992"/>
      <c r="K8" s="992"/>
      <c r="L8" s="992"/>
      <c r="M8" s="993"/>
      <c r="O8" s="531"/>
      <c r="P8" s="344"/>
      <c r="Q8" s="344"/>
      <c r="R8" s="531" t="s">
        <v>753</v>
      </c>
      <c r="T8" s="531" t="s">
        <v>758</v>
      </c>
      <c r="W8" s="532"/>
      <c r="AA8" s="354" t="s">
        <v>529</v>
      </c>
      <c r="AB8" s="355"/>
      <c r="AC8" s="354" t="s">
        <v>416</v>
      </c>
      <c r="AD8" s="352"/>
      <c r="AE8" s="380"/>
      <c r="AF8" s="380" t="str">
        <f t="shared" si="0"/>
        <v>Eingriffstiefe angeben</v>
      </c>
      <c r="AG8" s="380"/>
      <c r="AH8" s="380"/>
      <c r="AI8" s="380"/>
      <c r="AJ8" s="380"/>
      <c r="AK8" s="380"/>
      <c r="AL8" s="380"/>
      <c r="AM8" s="380"/>
      <c r="AN8" s="380"/>
      <c r="AO8" s="380"/>
      <c r="AP8" s="380"/>
      <c r="AQ8" s="380"/>
      <c r="AR8" s="380"/>
    </row>
    <row r="9" spans="1:256" ht="11.25" customHeight="1" x14ac:dyDescent="0.2">
      <c r="O9" s="344"/>
      <c r="P9" s="344"/>
      <c r="Q9" s="344"/>
      <c r="R9" s="531"/>
      <c r="T9" s="531" t="s">
        <v>759</v>
      </c>
      <c r="W9" s="532"/>
      <c r="AA9" s="354" t="s">
        <v>507</v>
      </c>
      <c r="AB9" s="355"/>
      <c r="AC9" s="354" t="s">
        <v>416</v>
      </c>
      <c r="AD9" s="352"/>
      <c r="AE9" s="380"/>
      <c r="AF9" s="380" t="str">
        <f t="shared" si="0"/>
        <v>Eingriffstiefe angeben</v>
      </c>
      <c r="AG9" s="380"/>
      <c r="AH9" s="380"/>
      <c r="AI9" s="380"/>
      <c r="AJ9" s="380"/>
      <c r="AK9" s="380"/>
      <c r="AL9" s="380"/>
      <c r="AM9" s="380"/>
      <c r="AN9" s="380"/>
      <c r="AO9" s="380"/>
      <c r="AP9" s="380"/>
      <c r="AQ9" s="380"/>
      <c r="AR9" s="380"/>
    </row>
    <row r="10" spans="1:256" ht="24" customHeight="1" outlineLevel="1" x14ac:dyDescent="0.2">
      <c r="B10" s="1024"/>
      <c r="C10" s="305" t="s">
        <v>700</v>
      </c>
      <c r="D10" s="183"/>
      <c r="E10" s="183"/>
      <c r="F10" s="183"/>
      <c r="G10" s="1000"/>
      <c r="H10" s="1001"/>
      <c r="I10" s="1001"/>
      <c r="J10" s="1001"/>
      <c r="K10" s="1001"/>
      <c r="L10" s="1001"/>
      <c r="M10" s="1002"/>
      <c r="O10" s="344"/>
      <c r="P10" s="344"/>
      <c r="Q10" s="344"/>
      <c r="R10" s="344"/>
      <c r="W10" s="532"/>
      <c r="AA10" s="354" t="s">
        <v>530</v>
      </c>
      <c r="AB10" s="355"/>
      <c r="AC10" s="354" t="s">
        <v>416</v>
      </c>
      <c r="AD10" s="352"/>
      <c r="AE10" s="380"/>
      <c r="AF10" s="380" t="str">
        <f t="shared" si="0"/>
        <v>Eingriffstiefe angeben</v>
      </c>
      <c r="AG10" s="380"/>
      <c r="AH10" s="380"/>
      <c r="AI10" s="380"/>
      <c r="AJ10" s="380"/>
      <c r="AK10" s="239"/>
      <c r="AL10" s="380"/>
      <c r="AM10" s="380"/>
      <c r="AN10" s="380"/>
      <c r="AO10" s="380"/>
      <c r="AP10" s="380"/>
      <c r="AQ10" s="380"/>
      <c r="AR10" s="380"/>
    </row>
    <row r="11" spans="1:256" ht="13.5" customHeight="1" outlineLevel="1" x14ac:dyDescent="0.2">
      <c r="B11" s="1025"/>
      <c r="C11" s="102" t="s">
        <v>100</v>
      </c>
      <c r="D11" s="119"/>
      <c r="E11" s="89"/>
      <c r="F11" s="17" t="s">
        <v>99</v>
      </c>
      <c r="G11" s="1003"/>
      <c r="H11" s="1004"/>
      <c r="I11" s="1004"/>
      <c r="J11" s="1004"/>
      <c r="K11" s="1004"/>
      <c r="L11" s="1004"/>
      <c r="M11" s="1005"/>
      <c r="O11" s="344"/>
      <c r="P11" s="344"/>
      <c r="Q11" s="344"/>
      <c r="R11" s="344"/>
      <c r="W11" s="532"/>
      <c r="AA11" s="354"/>
      <c r="AB11" s="499"/>
      <c r="AC11" s="355"/>
      <c r="AD11" s="500"/>
      <c r="AE11" s="380"/>
      <c r="AF11" s="380"/>
      <c r="AG11" s="380"/>
      <c r="AH11" s="380"/>
      <c r="AI11" s="380"/>
      <c r="AJ11" s="380"/>
      <c r="AK11" s="380"/>
      <c r="AL11" s="380"/>
      <c r="AM11" s="380"/>
      <c r="AN11" s="380"/>
      <c r="AO11" s="380"/>
      <c r="AP11" s="380"/>
      <c r="AQ11" s="380"/>
      <c r="AR11" s="380"/>
    </row>
    <row r="12" spans="1:256" ht="13.5" customHeight="1" outlineLevel="1" x14ac:dyDescent="0.2">
      <c r="B12" s="1025"/>
      <c r="C12" s="36" t="s">
        <v>101</v>
      </c>
      <c r="D12" s="95"/>
      <c r="E12" s="38"/>
      <c r="F12" s="4" t="s">
        <v>99</v>
      </c>
      <c r="G12" s="994"/>
      <c r="H12" s="995"/>
      <c r="I12" s="995"/>
      <c r="J12" s="995"/>
      <c r="K12" s="995"/>
      <c r="L12" s="995"/>
      <c r="M12" s="996"/>
      <c r="O12" s="344"/>
      <c r="P12" s="344"/>
      <c r="Q12" s="344"/>
      <c r="R12" s="344"/>
      <c r="W12" s="532"/>
      <c r="AA12" s="492" t="s">
        <v>101</v>
      </c>
      <c r="AB12" s="499"/>
      <c r="AC12" s="492" t="s">
        <v>101</v>
      </c>
      <c r="AD12" s="500"/>
      <c r="AE12" s="380"/>
      <c r="AF12" s="501" t="str">
        <f t="shared" si="0"/>
        <v>Eingriffstiefe angeben</v>
      </c>
      <c r="AG12" s="380"/>
      <c r="AH12" s="380"/>
      <c r="AI12" s="380"/>
      <c r="AJ12" s="380"/>
      <c r="AK12" s="380"/>
      <c r="AQ12" s="380"/>
      <c r="AR12" s="380"/>
    </row>
    <row r="13" spans="1:256" ht="13.5" customHeight="1" outlineLevel="1" x14ac:dyDescent="0.2">
      <c r="B13" s="1025"/>
      <c r="C13" s="36" t="s">
        <v>102</v>
      </c>
      <c r="D13" s="95"/>
      <c r="E13" s="38"/>
      <c r="F13" s="4" t="s">
        <v>99</v>
      </c>
      <c r="G13" s="994"/>
      <c r="H13" s="995"/>
      <c r="I13" s="995"/>
      <c r="J13" s="995"/>
      <c r="K13" s="995"/>
      <c r="L13" s="995"/>
      <c r="M13" s="996"/>
      <c r="O13" s="498" t="s">
        <v>290</v>
      </c>
      <c r="P13" s="344"/>
      <c r="Q13" s="344"/>
      <c r="R13" s="344"/>
      <c r="W13" s="532"/>
      <c r="AA13" s="496"/>
      <c r="AB13" s="502"/>
      <c r="AC13" s="496"/>
      <c r="AD13" s="497"/>
      <c r="AE13" s="503"/>
      <c r="AF13" s="380"/>
      <c r="AG13" s="380"/>
      <c r="AH13" s="380"/>
      <c r="AI13" s="380"/>
      <c r="AJ13" s="380"/>
      <c r="AK13" s="380"/>
      <c r="AL13" s="380"/>
      <c r="AM13" s="380"/>
      <c r="AN13" s="380"/>
      <c r="AO13" s="380"/>
      <c r="AP13" s="380"/>
      <c r="AQ13" s="380"/>
      <c r="AR13" s="380"/>
    </row>
    <row r="14" spans="1:256" s="9" customFormat="1" ht="13.5" customHeight="1" outlineLevel="1" x14ac:dyDescent="0.2">
      <c r="A14" s="242"/>
      <c r="B14" s="1025"/>
      <c r="C14" s="36" t="s">
        <v>103</v>
      </c>
      <c r="D14" s="95"/>
      <c r="E14" s="38"/>
      <c r="F14" s="4" t="s">
        <v>99</v>
      </c>
      <c r="G14" s="994"/>
      <c r="H14" s="995"/>
      <c r="I14" s="995"/>
      <c r="J14" s="995"/>
      <c r="K14" s="995"/>
      <c r="L14" s="995"/>
      <c r="M14" s="996"/>
      <c r="O14" s="498" t="s">
        <v>291</v>
      </c>
      <c r="P14" s="344"/>
      <c r="Q14" s="344"/>
      <c r="R14" s="344"/>
      <c r="W14" s="532"/>
      <c r="AA14" s="354" t="s">
        <v>431</v>
      </c>
      <c r="AB14" s="373"/>
      <c r="AC14" s="354" t="s">
        <v>483</v>
      </c>
      <c r="AD14" s="352"/>
      <c r="AE14" s="380"/>
      <c r="AF14" s="380" t="str">
        <f t="shared" si="0"/>
        <v>Eingriffstiefe angeben</v>
      </c>
      <c r="AG14" s="380"/>
      <c r="AH14" s="380"/>
      <c r="AI14" s="380"/>
      <c r="AJ14" s="380"/>
      <c r="AK14" s="380"/>
      <c r="AL14" s="380"/>
      <c r="AM14" s="380"/>
      <c r="AN14" s="380"/>
      <c r="AO14" s="380"/>
      <c r="AP14" s="380"/>
      <c r="AQ14" s="380"/>
      <c r="AR14" s="380"/>
      <c r="IR14" s="213"/>
      <c r="IS14" s="213"/>
      <c r="IT14" s="213"/>
      <c r="IU14" s="213"/>
      <c r="IV14" s="213"/>
    </row>
    <row r="15" spans="1:256" s="9" customFormat="1" ht="13.5" customHeight="1" outlineLevel="1" x14ac:dyDescent="0.2">
      <c r="A15" s="242"/>
      <c r="B15" s="1025"/>
      <c r="C15" s="36" t="s">
        <v>370</v>
      </c>
      <c r="D15" s="95"/>
      <c r="E15" s="38"/>
      <c r="F15" s="4" t="s">
        <v>99</v>
      </c>
      <c r="G15" s="994"/>
      <c r="H15" s="1012"/>
      <c r="I15" s="1012"/>
      <c r="J15" s="1012"/>
      <c r="K15" s="1012"/>
      <c r="L15" s="1012"/>
      <c r="M15" s="1013"/>
      <c r="O15" s="498" t="s">
        <v>292</v>
      </c>
      <c r="P15" s="344"/>
      <c r="Q15" s="344"/>
      <c r="R15" s="344"/>
      <c r="W15" s="533"/>
      <c r="AA15" s="354" t="s">
        <v>432</v>
      </c>
      <c r="AB15" s="373"/>
      <c r="AC15" s="354" t="s">
        <v>465</v>
      </c>
      <c r="AD15" s="352"/>
      <c r="AE15" s="380"/>
      <c r="AF15" s="380" t="str">
        <f t="shared" si="0"/>
        <v>Eingriffstiefe angeben</v>
      </c>
      <c r="AG15" s="380"/>
      <c r="AH15" s="380"/>
      <c r="AI15" s="380"/>
      <c r="AJ15" s="380"/>
      <c r="AK15" s="380"/>
      <c r="AL15" s="380"/>
      <c r="AM15" s="380"/>
      <c r="AN15" s="380"/>
      <c r="AO15" s="380"/>
      <c r="AQ15" s="380"/>
      <c r="AR15" s="380"/>
      <c r="IR15" s="213"/>
      <c r="IS15" s="213"/>
      <c r="IT15" s="213"/>
      <c r="IU15" s="213"/>
      <c r="IV15" s="213"/>
    </row>
    <row r="16" spans="1:256" s="9" customFormat="1" ht="13.5" customHeight="1" outlineLevel="1" x14ac:dyDescent="0.2">
      <c r="A16" s="242"/>
      <c r="B16" s="1025"/>
      <c r="C16" s="36" t="s">
        <v>569</v>
      </c>
      <c r="D16" s="95"/>
      <c r="E16" s="38"/>
      <c r="F16" s="4" t="s">
        <v>99</v>
      </c>
      <c r="G16" s="994"/>
      <c r="H16" s="995"/>
      <c r="I16" s="995"/>
      <c r="J16" s="995"/>
      <c r="K16" s="995"/>
      <c r="L16" s="995"/>
      <c r="M16" s="996"/>
      <c r="O16" s="498" t="s">
        <v>293</v>
      </c>
      <c r="P16" s="344"/>
      <c r="Q16" s="344"/>
      <c r="R16" s="344"/>
      <c r="W16" s="239"/>
      <c r="AA16" s="354" t="s">
        <v>433</v>
      </c>
      <c r="AB16" s="373"/>
      <c r="AC16" s="373" t="s">
        <v>484</v>
      </c>
      <c r="AD16" s="353"/>
      <c r="AE16" s="380"/>
      <c r="AF16" s="380" t="str">
        <f t="shared" si="0"/>
        <v>Eingriffstiefe angeben</v>
      </c>
      <c r="AG16" s="380"/>
      <c r="AH16" s="380"/>
      <c r="AI16" s="380"/>
      <c r="AJ16" s="380"/>
      <c r="AK16" s="380"/>
      <c r="AL16" s="380"/>
      <c r="AM16" s="380"/>
      <c r="AN16" s="380"/>
      <c r="AO16" s="380"/>
      <c r="AP16" s="380"/>
      <c r="AQ16" s="380"/>
      <c r="AR16" s="380"/>
      <c r="IR16" s="213"/>
      <c r="IS16" s="213"/>
      <c r="IT16" s="213"/>
      <c r="IU16" s="213"/>
      <c r="IV16" s="213"/>
    </row>
    <row r="17" spans="1:256" s="9" customFormat="1" ht="13.5" customHeight="1" outlineLevel="1" x14ac:dyDescent="0.2">
      <c r="A17" s="242"/>
      <c r="B17" s="1025"/>
      <c r="C17" s="36" t="s">
        <v>412</v>
      </c>
      <c r="D17" s="95"/>
      <c r="E17" s="38"/>
      <c r="F17" s="4" t="s">
        <v>99</v>
      </c>
      <c r="G17" s="994"/>
      <c r="H17" s="995"/>
      <c r="I17" s="995"/>
      <c r="J17" s="995"/>
      <c r="K17" s="995"/>
      <c r="L17" s="995"/>
      <c r="M17" s="996"/>
      <c r="O17" s="498" t="s">
        <v>294</v>
      </c>
      <c r="P17" s="344"/>
      <c r="Q17" s="344"/>
      <c r="R17" s="344"/>
      <c r="W17" s="239"/>
      <c r="AA17" s="354" t="s">
        <v>434</v>
      </c>
      <c r="AB17" s="373"/>
      <c r="AC17" s="373" t="s">
        <v>482</v>
      </c>
      <c r="AD17" s="353"/>
      <c r="AE17" s="380"/>
      <c r="AF17" s="380" t="str">
        <f t="shared" si="0"/>
        <v>Eingriffstiefe angeben</v>
      </c>
      <c r="AG17" s="380"/>
      <c r="AH17" s="380"/>
      <c r="AI17" s="380"/>
      <c r="AJ17" s="380"/>
      <c r="AK17" s="380"/>
      <c r="AL17" s="380"/>
      <c r="AM17" s="380"/>
      <c r="AN17" s="380"/>
      <c r="AO17" s="380"/>
      <c r="AP17" s="380"/>
      <c r="AQ17" s="380"/>
      <c r="AR17" s="380"/>
      <c r="IR17" s="213"/>
      <c r="IS17" s="213"/>
      <c r="IT17" s="213"/>
      <c r="IU17" s="213"/>
      <c r="IV17" s="213"/>
    </row>
    <row r="18" spans="1:256" s="9" customFormat="1" ht="13.5" customHeight="1" outlineLevel="1" x14ac:dyDescent="0.2">
      <c r="A18" s="242"/>
      <c r="B18" s="1025"/>
      <c r="C18" s="36" t="s">
        <v>188</v>
      </c>
      <c r="D18" s="95"/>
      <c r="E18" s="38"/>
      <c r="F18" s="4" t="s">
        <v>99</v>
      </c>
      <c r="G18" s="994"/>
      <c r="H18" s="995"/>
      <c r="I18" s="995"/>
      <c r="J18" s="995"/>
      <c r="K18" s="995"/>
      <c r="L18" s="995"/>
      <c r="M18" s="996"/>
      <c r="O18" s="498" t="s">
        <v>296</v>
      </c>
      <c r="P18" s="344"/>
      <c r="Q18" s="344"/>
      <c r="R18" s="344"/>
      <c r="W18" s="239"/>
      <c r="AA18" s="354" t="s">
        <v>505</v>
      </c>
      <c r="AB18" s="375"/>
      <c r="AC18" s="373" t="s">
        <v>532</v>
      </c>
      <c r="AD18" s="353"/>
      <c r="AE18" s="380"/>
      <c r="AF18" s="380" t="str">
        <f t="shared" si="0"/>
        <v>Eingriffstiefe angeben</v>
      </c>
      <c r="AG18" s="380"/>
      <c r="AH18" s="380"/>
      <c r="AI18" s="380"/>
      <c r="AJ18" s="380"/>
      <c r="AK18" s="380"/>
      <c r="AL18" s="380"/>
      <c r="AM18" s="380"/>
      <c r="AN18" s="380"/>
      <c r="AO18" s="380"/>
      <c r="AP18" s="380"/>
      <c r="AQ18" s="380"/>
      <c r="AR18" s="380"/>
      <c r="AT18" s="380">
        <f>IF(B8_04_1EING="Neubau",-1,IF(B8_04_1EING="Ersatz-Neubau",-1,IF(B8_04_1EING="",0,10)))</f>
        <v>0</v>
      </c>
      <c r="AU18" s="380">
        <f>IF(B8_04_2EING="Neubau",-1,IF(B8_04_2EING="Ersatz-Neubau",-1,IF(B8_04_2EING="",0,10)))</f>
        <v>0</v>
      </c>
      <c r="AV18" s="380">
        <f>IF(B8_04_3EING="Neubau",-1,IF(B8_04_3EING="Ersatz-Neubau",-1,IF(B8_04_3EING="",0,10)))</f>
        <v>0</v>
      </c>
      <c r="AW18" s="380">
        <f>IF(B8_04_4EING="Neubau",-1,IF(B8_04_4EING="Ersatz-Neubau",-1,IF(B8_04_4EING="",0,10)))</f>
        <v>0</v>
      </c>
      <c r="AX18" s="380">
        <f>IF(B8_04_5EING="Neubau",-1,IF(B8_04_5EING="Ersatz-Neubau",-1,IF(B8_04_5EING="",0,10)))</f>
        <v>0</v>
      </c>
      <c r="AY18" s="380">
        <f>IF(B8_04_6EING="Neubau",-1,IF(B8_04_6EING="Ersatz-Neubau",-1,IF(B8_04_6EING="",0,10)))</f>
        <v>0</v>
      </c>
      <c r="AZ18" s="380">
        <f>IF(B8_04_7EING="Neubau",-1,IF(B8_04_7EING="Ersatz-Neubau",-1,IF(B8_04_7EING="",0,10)))</f>
        <v>0</v>
      </c>
      <c r="BA18" s="380">
        <f>SUM(AT18:AZ18)</f>
        <v>0</v>
      </c>
      <c r="BB18" s="380">
        <f>IF(BA18&lt;=-1,1,IF(BA18=0,1000,2))</f>
        <v>1000</v>
      </c>
      <c r="IR18" s="213"/>
      <c r="IS18" s="213"/>
      <c r="IT18" s="213"/>
      <c r="IU18" s="213"/>
      <c r="IV18" s="213"/>
    </row>
    <row r="19" spans="1:256" s="9" customFormat="1" ht="13.5" customHeight="1" outlineLevel="1" x14ac:dyDescent="0.2">
      <c r="A19" s="242"/>
      <c r="B19" s="1025"/>
      <c r="C19" s="36" t="s">
        <v>410</v>
      </c>
      <c r="D19" s="95"/>
      <c r="E19" s="38"/>
      <c r="F19" s="4" t="s">
        <v>99</v>
      </c>
      <c r="G19" s="994"/>
      <c r="H19" s="995"/>
      <c r="I19" s="995"/>
      <c r="J19" s="995"/>
      <c r="K19" s="995"/>
      <c r="L19" s="995"/>
      <c r="M19" s="996"/>
      <c r="O19" s="498"/>
      <c r="P19" s="344"/>
      <c r="Q19" s="344"/>
      <c r="R19" s="344"/>
      <c r="W19" s="239"/>
      <c r="AA19" s="354" t="s">
        <v>435</v>
      </c>
      <c r="AB19" s="375"/>
      <c r="AC19" s="354" t="s">
        <v>416</v>
      </c>
      <c r="AD19" s="352"/>
      <c r="AE19" s="380"/>
      <c r="AF19" s="380" t="str">
        <f t="shared" si="0"/>
        <v>Eingriffstiefe angeben</v>
      </c>
      <c r="AG19" s="380"/>
      <c r="AH19" s="380"/>
      <c r="AI19" s="380"/>
      <c r="AJ19" s="380"/>
      <c r="AK19" s="380"/>
      <c r="AL19" s="380"/>
      <c r="AM19" s="380"/>
      <c r="AN19" s="380"/>
      <c r="AO19" s="380"/>
      <c r="AP19" s="380"/>
      <c r="AQ19" s="380"/>
      <c r="AR19" s="380"/>
      <c r="IR19" s="213"/>
      <c r="IS19" s="213"/>
      <c r="IT19" s="213"/>
      <c r="IU19" s="213"/>
      <c r="IV19" s="213"/>
    </row>
    <row r="20" spans="1:256" s="9" customFormat="1" ht="13.5" customHeight="1" outlineLevel="1" x14ac:dyDescent="0.2">
      <c r="A20" s="242"/>
      <c r="B20" s="1025"/>
      <c r="C20" s="36" t="s">
        <v>189</v>
      </c>
      <c r="D20" s="95"/>
      <c r="E20" s="38"/>
      <c r="F20" s="4" t="s">
        <v>99</v>
      </c>
      <c r="G20" s="994"/>
      <c r="H20" s="995"/>
      <c r="I20" s="995"/>
      <c r="J20" s="995"/>
      <c r="K20" s="995"/>
      <c r="L20" s="995"/>
      <c r="M20" s="996"/>
      <c r="O20" s="498"/>
      <c r="P20" s="344"/>
      <c r="Q20" s="344"/>
      <c r="R20" s="344"/>
      <c r="W20" s="239"/>
      <c r="AA20" s="492" t="s">
        <v>102</v>
      </c>
      <c r="AB20" s="375"/>
      <c r="AC20" s="492" t="s">
        <v>102</v>
      </c>
      <c r="AD20" s="352"/>
      <c r="AE20" s="380"/>
      <c r="AF20" s="501" t="str">
        <f t="shared" si="0"/>
        <v>Eingriffstiefe angeben</v>
      </c>
      <c r="AG20" s="380"/>
      <c r="AH20" s="380"/>
      <c r="AI20" s="380"/>
      <c r="AJ20" s="380"/>
      <c r="AK20" s="380"/>
      <c r="AL20" s="380"/>
      <c r="AM20" s="380"/>
      <c r="AN20" s="380"/>
      <c r="AO20" s="380"/>
      <c r="AP20" s="380"/>
      <c r="AQ20" s="380"/>
      <c r="AR20" s="380"/>
      <c r="AT20" s="504" t="s">
        <v>542</v>
      </c>
      <c r="IR20" s="213"/>
      <c r="IS20" s="213"/>
      <c r="IT20" s="213"/>
      <c r="IU20" s="213"/>
      <c r="IV20" s="213"/>
    </row>
    <row r="21" spans="1:256" s="9" customFormat="1" ht="13.5" customHeight="1" outlineLevel="1" x14ac:dyDescent="0.2">
      <c r="A21" s="242"/>
      <c r="B21" s="1025"/>
      <c r="C21" s="36" t="s">
        <v>104</v>
      </c>
      <c r="D21" s="95"/>
      <c r="E21" s="38"/>
      <c r="F21" s="4" t="s">
        <v>99</v>
      </c>
      <c r="G21" s="994"/>
      <c r="H21" s="995"/>
      <c r="I21" s="995"/>
      <c r="J21" s="995"/>
      <c r="K21" s="995"/>
      <c r="L21" s="995"/>
      <c r="M21" s="996"/>
      <c r="O21" s="498"/>
      <c r="P21" s="344"/>
      <c r="Q21" s="344"/>
      <c r="R21" s="344"/>
      <c r="W21" s="239"/>
      <c r="AA21" s="496"/>
      <c r="AB21" s="502"/>
      <c r="AC21" s="505"/>
      <c r="AD21" s="352"/>
      <c r="AE21" s="380"/>
      <c r="AF21" s="380"/>
      <c r="AG21" s="380"/>
      <c r="AH21" s="380"/>
      <c r="AI21" s="380"/>
      <c r="AJ21" s="380"/>
      <c r="AK21" s="380"/>
      <c r="AL21" s="380"/>
      <c r="AM21" s="380"/>
      <c r="AN21" s="380"/>
      <c r="AO21" s="380"/>
      <c r="AP21" s="380"/>
      <c r="AQ21" s="380"/>
      <c r="AR21" s="380"/>
      <c r="IR21" s="213"/>
      <c r="IS21" s="213"/>
      <c r="IT21" s="213"/>
      <c r="IU21" s="213"/>
      <c r="IV21" s="213"/>
    </row>
    <row r="22" spans="1:256" s="9" customFormat="1" ht="13.5" customHeight="1" outlineLevel="1" x14ac:dyDescent="0.2">
      <c r="A22" s="242"/>
      <c r="B22" s="1025"/>
      <c r="C22" s="36" t="s">
        <v>105</v>
      </c>
      <c r="D22" s="95"/>
      <c r="E22" s="38"/>
      <c r="F22" s="4" t="s">
        <v>99</v>
      </c>
      <c r="G22" s="994"/>
      <c r="H22" s="995"/>
      <c r="I22" s="995"/>
      <c r="J22" s="995"/>
      <c r="K22" s="995"/>
      <c r="L22" s="995"/>
      <c r="M22" s="996"/>
      <c r="O22" s="498" t="s">
        <v>297</v>
      </c>
      <c r="P22" s="344"/>
      <c r="Q22" s="344"/>
      <c r="R22" s="344"/>
      <c r="W22" s="239"/>
      <c r="AA22" s="354" t="s">
        <v>516</v>
      </c>
      <c r="AB22" s="354"/>
      <c r="AC22" s="354" t="s">
        <v>421</v>
      </c>
      <c r="AD22" s="497"/>
      <c r="AE22" s="380"/>
      <c r="AF22" s="380" t="str">
        <f t="shared" si="0"/>
        <v>Eingriffstiefe angeben</v>
      </c>
      <c r="AG22" s="380"/>
      <c r="AH22" s="380"/>
      <c r="AI22" s="380"/>
      <c r="AJ22" s="380"/>
      <c r="AK22" s="380"/>
      <c r="AL22" s="380"/>
      <c r="AM22" s="380"/>
      <c r="AN22" s="380"/>
      <c r="AO22" s="380"/>
      <c r="AP22" s="380"/>
      <c r="AQ22" s="380"/>
      <c r="AR22" s="380"/>
      <c r="IR22" s="213"/>
      <c r="IS22" s="213"/>
      <c r="IT22" s="213"/>
      <c r="IU22" s="213"/>
      <c r="IV22" s="213"/>
    </row>
    <row r="23" spans="1:256" s="9" customFormat="1" ht="13.5" customHeight="1" outlineLevel="1" x14ac:dyDescent="0.2">
      <c r="A23" s="242"/>
      <c r="B23" s="1025"/>
      <c r="C23" s="36" t="s">
        <v>106</v>
      </c>
      <c r="D23" s="95"/>
      <c r="E23" s="38"/>
      <c r="F23" s="4" t="s">
        <v>99</v>
      </c>
      <c r="G23" s="994"/>
      <c r="H23" s="995"/>
      <c r="I23" s="995"/>
      <c r="J23" s="995"/>
      <c r="K23" s="995"/>
      <c r="L23" s="995"/>
      <c r="M23" s="996"/>
      <c r="O23" s="498" t="s">
        <v>298</v>
      </c>
      <c r="P23" s="344"/>
      <c r="Q23" s="344"/>
      <c r="R23" s="344"/>
      <c r="W23" s="239"/>
      <c r="AA23" s="354" t="s">
        <v>517</v>
      </c>
      <c r="AB23" s="373"/>
      <c r="AC23" s="354" t="s">
        <v>500</v>
      </c>
      <c r="AD23" s="352"/>
      <c r="AE23" s="380"/>
      <c r="AF23" s="380" t="str">
        <f t="shared" si="0"/>
        <v>Eingriffstiefe angeben</v>
      </c>
      <c r="AG23" s="380"/>
      <c r="AH23" s="380"/>
      <c r="AI23" s="380"/>
      <c r="AJ23" s="380"/>
      <c r="AK23" s="380"/>
      <c r="AL23" s="380"/>
      <c r="AM23" s="380"/>
      <c r="AN23" s="380"/>
      <c r="AO23" s="380"/>
      <c r="AP23" s="380"/>
      <c r="AQ23" s="380"/>
      <c r="AR23" s="380"/>
      <c r="IR23" s="213"/>
      <c r="IS23" s="213"/>
      <c r="IT23" s="213"/>
      <c r="IU23" s="213"/>
      <c r="IV23" s="213"/>
    </row>
    <row r="24" spans="1:256" s="9" customFormat="1" ht="13.5" customHeight="1" outlineLevel="1" x14ac:dyDescent="0.2">
      <c r="A24" s="242"/>
      <c r="B24" s="1025"/>
      <c r="C24" s="109" t="s">
        <v>107</v>
      </c>
      <c r="D24" s="110"/>
      <c r="E24" s="91"/>
      <c r="F24" s="18" t="s">
        <v>99</v>
      </c>
      <c r="G24" s="997"/>
      <c r="H24" s="998"/>
      <c r="I24" s="998"/>
      <c r="J24" s="998"/>
      <c r="K24" s="998"/>
      <c r="L24" s="998"/>
      <c r="M24" s="999"/>
      <c r="O24" s="498" t="s">
        <v>299</v>
      </c>
      <c r="P24" s="344"/>
      <c r="Q24" s="344"/>
      <c r="R24" s="344"/>
      <c r="W24" s="239"/>
      <c r="AA24" s="354" t="s">
        <v>518</v>
      </c>
      <c r="AB24" s="373"/>
      <c r="AC24" s="373" t="s">
        <v>466</v>
      </c>
      <c r="AD24" s="352"/>
      <c r="AE24" s="380"/>
      <c r="AF24" s="380" t="str">
        <f t="shared" si="0"/>
        <v>Eingriffstiefe angeben</v>
      </c>
      <c r="AG24" s="380"/>
      <c r="AH24" s="380"/>
      <c r="AI24" s="380"/>
      <c r="AJ24" s="380"/>
      <c r="AK24" s="380"/>
      <c r="AL24" s="380"/>
      <c r="AM24" s="380"/>
      <c r="AN24" s="380"/>
      <c r="AO24" s="380"/>
      <c r="AP24" s="380"/>
      <c r="AQ24" s="380"/>
      <c r="AR24" s="380"/>
      <c r="IR24" s="213"/>
      <c r="IS24" s="213"/>
      <c r="IT24" s="213"/>
      <c r="IU24" s="213"/>
      <c r="IV24" s="213"/>
    </row>
    <row r="25" spans="1:256" s="9" customFormat="1" ht="49.5" customHeight="1" outlineLevel="1" x14ac:dyDescent="0.2">
      <c r="A25" s="242"/>
      <c r="B25" s="1025"/>
      <c r="C25" s="1018" t="s">
        <v>622</v>
      </c>
      <c r="D25" s="1019"/>
      <c r="E25" s="1020"/>
      <c r="F25" s="528" t="s">
        <v>99</v>
      </c>
      <c r="G25" s="1014"/>
      <c r="H25" s="1010"/>
      <c r="I25" s="1010"/>
      <c r="J25" s="1010"/>
      <c r="K25" s="1010"/>
      <c r="L25" s="1010"/>
      <c r="M25" s="1011"/>
      <c r="O25" s="498"/>
      <c r="P25" s="344"/>
      <c r="Q25" s="344"/>
      <c r="R25" s="344"/>
      <c r="W25" s="239"/>
      <c r="AA25" s="354" t="s">
        <v>519</v>
      </c>
      <c r="AB25" s="373"/>
      <c r="AC25" s="373" t="s">
        <v>524</v>
      </c>
      <c r="AD25" s="353"/>
      <c r="AE25" s="380"/>
      <c r="AF25" s="380" t="str">
        <f t="shared" si="0"/>
        <v>Eingriffstiefe angeben</v>
      </c>
      <c r="AG25" s="380"/>
      <c r="AH25" s="380"/>
      <c r="AI25" s="380"/>
      <c r="AJ25" s="380"/>
      <c r="AK25" s="380"/>
      <c r="AL25" s="380"/>
      <c r="AM25" s="380"/>
      <c r="AN25" s="380"/>
      <c r="AO25" s="380"/>
      <c r="AP25" s="380"/>
      <c r="AQ25" s="380"/>
      <c r="AR25" s="380"/>
      <c r="IR25" s="213"/>
      <c r="IS25" s="213"/>
      <c r="IT25" s="213"/>
      <c r="IU25" s="213"/>
      <c r="IV25" s="213"/>
    </row>
    <row r="26" spans="1:256" s="9" customFormat="1" ht="49.5" customHeight="1" outlineLevel="1" x14ac:dyDescent="0.2">
      <c r="A26" s="242"/>
      <c r="B26" s="1026"/>
      <c r="C26" s="1018" t="s">
        <v>572</v>
      </c>
      <c r="D26" s="1019"/>
      <c r="E26" s="1020"/>
      <c r="F26" s="528" t="s">
        <v>99</v>
      </c>
      <c r="G26" s="1009"/>
      <c r="H26" s="1010"/>
      <c r="I26" s="1010"/>
      <c r="J26" s="1010"/>
      <c r="K26" s="1010"/>
      <c r="L26" s="1010"/>
      <c r="M26" s="1011"/>
      <c r="O26" s="498"/>
      <c r="P26" s="344"/>
      <c r="Q26" s="344"/>
      <c r="R26" s="344"/>
      <c r="W26" s="239"/>
      <c r="AA26" s="373" t="s">
        <v>520</v>
      </c>
      <c r="AB26" s="355"/>
      <c r="AC26" s="373" t="s">
        <v>467</v>
      </c>
      <c r="AD26" s="353"/>
      <c r="AE26" s="380"/>
      <c r="AF26" s="380" t="str">
        <f t="shared" si="0"/>
        <v>Eingriffstiefe angeben</v>
      </c>
      <c r="AG26" s="380"/>
      <c r="AH26" s="380"/>
      <c r="AI26" s="380"/>
      <c r="AJ26" s="380"/>
      <c r="AK26" s="380"/>
      <c r="AL26" s="380"/>
      <c r="AM26" s="380"/>
      <c r="AN26" s="380"/>
      <c r="AO26" s="380"/>
      <c r="AP26" s="380"/>
      <c r="AQ26" s="380"/>
      <c r="AR26" s="380"/>
      <c r="IR26" s="213"/>
      <c r="IS26" s="213"/>
      <c r="IT26" s="213"/>
      <c r="IU26" s="213"/>
      <c r="IV26" s="213"/>
    </row>
    <row r="27" spans="1:256" s="9" customFormat="1" ht="11.25" customHeight="1" x14ac:dyDescent="0.2">
      <c r="A27" s="242"/>
      <c r="B27" s="96"/>
      <c r="C27" s="52"/>
      <c r="D27" s="97"/>
      <c r="G27" s="169"/>
      <c r="H27" s="169"/>
      <c r="I27" s="169"/>
      <c r="J27" s="169"/>
      <c r="K27" s="169"/>
      <c r="L27" s="169"/>
      <c r="M27" s="169"/>
      <c r="N27" s="322"/>
      <c r="O27" s="498" t="s">
        <v>300</v>
      </c>
      <c r="P27" s="342"/>
      <c r="Q27" s="344"/>
      <c r="R27" s="344"/>
      <c r="W27" s="239"/>
      <c r="AA27" s="373" t="s">
        <v>521</v>
      </c>
      <c r="AB27" s="355"/>
      <c r="AC27" s="373" t="s">
        <v>501</v>
      </c>
      <c r="AD27" s="353"/>
      <c r="AE27" s="380"/>
      <c r="AF27" s="380" t="str">
        <f t="shared" si="0"/>
        <v>Eingriffstiefe angeben</v>
      </c>
      <c r="AG27" s="380"/>
      <c r="AH27" s="380"/>
      <c r="AI27" s="380"/>
      <c r="AJ27" s="380"/>
      <c r="AK27" s="380"/>
      <c r="AL27" s="380"/>
      <c r="AM27" s="380"/>
      <c r="AN27" s="380"/>
      <c r="AO27" s="380"/>
      <c r="AP27" s="380"/>
      <c r="AQ27" s="380"/>
      <c r="AR27" s="380"/>
      <c r="IR27" s="213"/>
      <c r="IS27" s="213"/>
      <c r="IT27" s="213"/>
      <c r="IU27" s="213"/>
      <c r="IV27" s="213"/>
    </row>
    <row r="28" spans="1:256" s="9" customFormat="1" ht="24" customHeight="1" outlineLevel="1" x14ac:dyDescent="0.2">
      <c r="A28" s="242"/>
      <c r="B28" s="1024"/>
      <c r="C28" s="305" t="s">
        <v>700</v>
      </c>
      <c r="D28" s="183"/>
      <c r="E28" s="183"/>
      <c r="F28" s="183"/>
      <c r="G28" s="1000"/>
      <c r="H28" s="1001"/>
      <c r="I28" s="1001"/>
      <c r="J28" s="1001"/>
      <c r="K28" s="1001"/>
      <c r="L28" s="1001"/>
      <c r="M28" s="1002"/>
      <c r="N28" s="26"/>
      <c r="O28" s="498" t="s">
        <v>301</v>
      </c>
      <c r="P28" s="343"/>
      <c r="Q28" s="343"/>
      <c r="R28" s="343"/>
      <c r="W28" s="239"/>
      <c r="AA28" s="373" t="s">
        <v>522</v>
      </c>
      <c r="AB28" s="355"/>
      <c r="AC28" s="373" t="s">
        <v>508</v>
      </c>
      <c r="AD28" s="352"/>
      <c r="AE28" s="380"/>
      <c r="AF28" s="380" t="str">
        <f t="shared" si="0"/>
        <v>Eingriffstiefe angeben</v>
      </c>
      <c r="AG28" s="380"/>
      <c r="AH28" s="380"/>
      <c r="AI28" s="380"/>
      <c r="AJ28" s="380"/>
      <c r="AK28" s="380"/>
      <c r="AL28" s="380"/>
      <c r="AM28" s="380"/>
      <c r="AN28" s="380"/>
      <c r="AO28" s="380"/>
      <c r="AP28" s="380"/>
      <c r="AQ28" s="380"/>
      <c r="AR28" s="380"/>
      <c r="IR28" s="213"/>
      <c r="IS28" s="213"/>
      <c r="IT28" s="213"/>
      <c r="IU28" s="213"/>
      <c r="IV28" s="213"/>
    </row>
    <row r="29" spans="1:256" ht="13.5" customHeight="1" outlineLevel="1" x14ac:dyDescent="0.2">
      <c r="B29" s="1025"/>
      <c r="C29" s="102" t="s">
        <v>100</v>
      </c>
      <c r="D29" s="119"/>
      <c r="E29" s="89"/>
      <c r="F29" s="17" t="s">
        <v>99</v>
      </c>
      <c r="G29" s="1003"/>
      <c r="H29" s="1004"/>
      <c r="I29" s="1004"/>
      <c r="J29" s="1004"/>
      <c r="K29" s="1004"/>
      <c r="L29" s="1004"/>
      <c r="M29" s="1005"/>
      <c r="N29" s="241"/>
      <c r="O29" s="498" t="s">
        <v>302</v>
      </c>
      <c r="P29" s="344"/>
      <c r="Q29" s="344"/>
      <c r="R29" s="344"/>
      <c r="S29" s="241"/>
      <c r="T29" s="241"/>
      <c r="U29" s="241"/>
      <c r="V29" s="239"/>
      <c r="AA29" s="373" t="s">
        <v>523</v>
      </c>
      <c r="AB29" s="355"/>
      <c r="AC29" s="354" t="s">
        <v>416</v>
      </c>
      <c r="AD29" s="352"/>
      <c r="AE29" s="380"/>
      <c r="AF29" s="380" t="str">
        <f t="shared" si="0"/>
        <v>Eingriffstiefe angeben</v>
      </c>
      <c r="AG29" s="380"/>
      <c r="AH29" s="380"/>
      <c r="AI29" s="380"/>
      <c r="AJ29" s="380"/>
      <c r="AK29" s="380"/>
      <c r="AL29" s="380"/>
      <c r="AM29" s="380"/>
      <c r="AN29" s="380"/>
      <c r="AO29" s="380"/>
      <c r="AP29" s="380"/>
      <c r="AQ29" s="380"/>
      <c r="AR29" s="380"/>
    </row>
    <row r="30" spans="1:256" ht="13.5" customHeight="1" outlineLevel="1" x14ac:dyDescent="0.2">
      <c r="B30" s="1025"/>
      <c r="C30" s="36" t="s">
        <v>101</v>
      </c>
      <c r="D30" s="95"/>
      <c r="E30" s="38"/>
      <c r="F30" s="4" t="s">
        <v>99</v>
      </c>
      <c r="G30" s="994"/>
      <c r="H30" s="995"/>
      <c r="I30" s="995"/>
      <c r="J30" s="995"/>
      <c r="K30" s="995"/>
      <c r="L30" s="995"/>
      <c r="M30" s="996"/>
      <c r="N30" s="241"/>
      <c r="O30" s="498" t="s">
        <v>303</v>
      </c>
      <c r="P30" s="344"/>
      <c r="Q30" s="344"/>
      <c r="R30" s="344"/>
      <c r="S30" s="241"/>
      <c r="T30" s="241"/>
      <c r="U30" s="241"/>
      <c r="V30" s="239"/>
      <c r="AA30" s="506" t="s">
        <v>103</v>
      </c>
      <c r="AB30" s="355"/>
      <c r="AC30" s="506" t="s">
        <v>103</v>
      </c>
      <c r="AD30" s="352"/>
      <c r="AE30" s="380"/>
      <c r="AF30" s="501" t="str">
        <f t="shared" si="0"/>
        <v>Eingriffstiefe angeben</v>
      </c>
      <c r="AG30" s="380"/>
      <c r="AH30" s="380"/>
      <c r="AI30" s="380"/>
      <c r="AJ30" s="380"/>
      <c r="AK30" s="380"/>
      <c r="AL30" s="380"/>
      <c r="AM30" s="380"/>
      <c r="AN30" s="380"/>
      <c r="AO30" s="380"/>
      <c r="AP30" s="380"/>
      <c r="AQ30" s="380"/>
      <c r="AR30" s="380"/>
    </row>
    <row r="31" spans="1:256" ht="13.5" customHeight="1" outlineLevel="1" x14ac:dyDescent="0.2">
      <c r="B31" s="1025"/>
      <c r="C31" s="36" t="s">
        <v>102</v>
      </c>
      <c r="D31" s="95"/>
      <c r="E31" s="38"/>
      <c r="F31" s="4" t="s">
        <v>99</v>
      </c>
      <c r="G31" s="994"/>
      <c r="H31" s="995"/>
      <c r="I31" s="995"/>
      <c r="J31" s="995"/>
      <c r="K31" s="995"/>
      <c r="L31" s="995"/>
      <c r="M31" s="996"/>
      <c r="N31" s="241"/>
      <c r="O31" s="498" t="s">
        <v>304</v>
      </c>
      <c r="P31" s="344"/>
      <c r="Q31" s="344"/>
      <c r="R31" s="344"/>
      <c r="S31" s="241"/>
      <c r="T31" s="241"/>
      <c r="U31" s="241"/>
      <c r="V31" s="239"/>
      <c r="AA31" s="505"/>
      <c r="AB31" s="502"/>
      <c r="AC31" s="496"/>
      <c r="AD31" s="352"/>
      <c r="AE31" s="380"/>
      <c r="AF31" s="380"/>
      <c r="AG31" s="380"/>
      <c r="AH31" s="380"/>
      <c r="AI31" s="380"/>
      <c r="AJ31" s="380"/>
      <c r="AK31" s="380"/>
      <c r="AL31" s="380"/>
      <c r="AM31" s="380"/>
      <c r="AN31" s="380"/>
      <c r="AO31" s="380"/>
      <c r="AP31" s="380"/>
      <c r="AQ31" s="380"/>
      <c r="AR31" s="380"/>
    </row>
    <row r="32" spans="1:256" ht="13.5" customHeight="1" outlineLevel="1" x14ac:dyDescent="0.2">
      <c r="B32" s="1025"/>
      <c r="C32" s="36" t="s">
        <v>103</v>
      </c>
      <c r="D32" s="95"/>
      <c r="E32" s="38"/>
      <c r="F32" s="4" t="s">
        <v>99</v>
      </c>
      <c r="G32" s="994"/>
      <c r="H32" s="995"/>
      <c r="I32" s="995"/>
      <c r="J32" s="995"/>
      <c r="K32" s="995"/>
      <c r="L32" s="995"/>
      <c r="M32" s="996"/>
      <c r="N32" s="241"/>
      <c r="O32" s="498" t="s">
        <v>305</v>
      </c>
      <c r="P32" s="344"/>
      <c r="Q32" s="344"/>
      <c r="R32" s="344"/>
      <c r="S32" s="241"/>
      <c r="T32" s="241"/>
      <c r="U32" s="241"/>
      <c r="V32" s="239"/>
      <c r="AA32" s="354" t="s">
        <v>436</v>
      </c>
      <c r="AB32" s="354"/>
      <c r="AC32" s="354" t="s">
        <v>436</v>
      </c>
      <c r="AD32" s="352"/>
      <c r="AE32" s="380"/>
      <c r="AF32" s="380" t="str">
        <f t="shared" si="0"/>
        <v>Eingriffstiefe angeben</v>
      </c>
      <c r="AG32" s="380"/>
      <c r="AH32" s="380"/>
      <c r="AI32" s="380"/>
      <c r="AJ32" s="380"/>
      <c r="AK32" s="380"/>
      <c r="AL32" s="380"/>
      <c r="AM32" s="380"/>
      <c r="AN32" s="380"/>
      <c r="AO32" s="380"/>
      <c r="AP32" s="380"/>
      <c r="AQ32" s="380"/>
      <c r="AR32" s="380"/>
    </row>
    <row r="33" spans="2:44" ht="13.5" customHeight="1" outlineLevel="1" x14ac:dyDescent="0.2">
      <c r="B33" s="1025"/>
      <c r="C33" s="36" t="s">
        <v>370</v>
      </c>
      <c r="D33" s="95"/>
      <c r="E33" s="38"/>
      <c r="F33" s="4" t="s">
        <v>99</v>
      </c>
      <c r="G33" s="994"/>
      <c r="H33" s="1012"/>
      <c r="I33" s="1012"/>
      <c r="J33" s="1012"/>
      <c r="K33" s="1012"/>
      <c r="L33" s="1012"/>
      <c r="M33" s="1013"/>
      <c r="O33" s="498" t="s">
        <v>306</v>
      </c>
      <c r="P33" s="344"/>
      <c r="Q33" s="344"/>
      <c r="R33" s="344"/>
      <c r="AA33" s="354" t="s">
        <v>437</v>
      </c>
      <c r="AB33" s="354"/>
      <c r="AC33" s="354" t="s">
        <v>437</v>
      </c>
      <c r="AD33" s="497"/>
      <c r="AE33" s="380"/>
      <c r="AF33" s="380" t="str">
        <f t="shared" si="0"/>
        <v>Eingriffstiefe angeben</v>
      </c>
      <c r="AG33" s="380"/>
      <c r="AH33" s="380"/>
      <c r="AI33" s="380"/>
      <c r="AJ33" s="380"/>
      <c r="AK33" s="380"/>
      <c r="AL33" s="380"/>
      <c r="AM33" s="380"/>
      <c r="AN33" s="380"/>
      <c r="AO33" s="380"/>
      <c r="AP33" s="380"/>
      <c r="AQ33" s="380"/>
      <c r="AR33" s="380"/>
    </row>
    <row r="34" spans="2:44" ht="13.5" customHeight="1" outlineLevel="1" x14ac:dyDescent="0.2">
      <c r="B34" s="1025"/>
      <c r="C34" s="36" t="s">
        <v>569</v>
      </c>
      <c r="D34" s="95"/>
      <c r="E34" s="38"/>
      <c r="F34" s="4" t="s">
        <v>99</v>
      </c>
      <c r="G34" s="994"/>
      <c r="H34" s="995"/>
      <c r="I34" s="995"/>
      <c r="J34" s="995"/>
      <c r="K34" s="995"/>
      <c r="L34" s="995"/>
      <c r="M34" s="996"/>
      <c r="O34" s="498" t="s">
        <v>307</v>
      </c>
      <c r="P34" s="344"/>
      <c r="Q34" s="344"/>
      <c r="R34" s="344"/>
      <c r="AA34" s="354" t="s">
        <v>438</v>
      </c>
      <c r="AB34" s="354"/>
      <c r="AC34" s="354" t="s">
        <v>509</v>
      </c>
      <c r="AD34" s="352"/>
      <c r="AE34" s="380"/>
      <c r="AF34" s="380" t="str">
        <f t="shared" si="0"/>
        <v>Eingriffstiefe angeben</v>
      </c>
      <c r="AG34" s="380"/>
      <c r="AH34" s="380"/>
      <c r="AI34" s="380"/>
      <c r="AJ34" s="380"/>
      <c r="AK34" s="380"/>
      <c r="AL34" s="380"/>
      <c r="AM34" s="380"/>
      <c r="AN34" s="380"/>
      <c r="AO34" s="380"/>
      <c r="AP34" s="380"/>
      <c r="AQ34" s="380"/>
      <c r="AR34" s="380"/>
    </row>
    <row r="35" spans="2:44" ht="13.5" customHeight="1" outlineLevel="1" x14ac:dyDescent="0.2">
      <c r="B35" s="1025"/>
      <c r="C35" s="36" t="s">
        <v>412</v>
      </c>
      <c r="D35" s="95"/>
      <c r="E35" s="38"/>
      <c r="F35" s="4" t="s">
        <v>99</v>
      </c>
      <c r="G35" s="994"/>
      <c r="H35" s="995"/>
      <c r="I35" s="995"/>
      <c r="J35" s="995"/>
      <c r="K35" s="995"/>
      <c r="L35" s="995"/>
      <c r="M35" s="996"/>
      <c r="O35" s="498" t="s">
        <v>308</v>
      </c>
      <c r="P35" s="344"/>
      <c r="Q35" s="344"/>
      <c r="R35" s="344"/>
      <c r="AA35" s="354" t="s">
        <v>438</v>
      </c>
      <c r="AB35" s="354"/>
      <c r="AC35" s="354" t="s">
        <v>510</v>
      </c>
      <c r="AD35" s="352"/>
      <c r="AE35" s="380"/>
      <c r="AF35" s="380" t="str">
        <f t="shared" si="0"/>
        <v>Eingriffstiefe angeben</v>
      </c>
      <c r="AG35" s="380"/>
      <c r="AH35" s="380"/>
      <c r="AI35" s="380"/>
      <c r="AJ35" s="380"/>
      <c r="AK35" s="380"/>
      <c r="AL35" s="380"/>
      <c r="AM35" s="380"/>
      <c r="AN35" s="380"/>
      <c r="AO35" s="380"/>
      <c r="AP35" s="380"/>
      <c r="AQ35" s="380"/>
      <c r="AR35" s="380"/>
    </row>
    <row r="36" spans="2:44" ht="13.5" customHeight="1" outlineLevel="1" x14ac:dyDescent="0.2">
      <c r="B36" s="1025"/>
      <c r="C36" s="36" t="s">
        <v>188</v>
      </c>
      <c r="D36" s="95"/>
      <c r="E36" s="38"/>
      <c r="F36" s="4" t="s">
        <v>99</v>
      </c>
      <c r="G36" s="994"/>
      <c r="H36" s="995"/>
      <c r="I36" s="995"/>
      <c r="J36" s="995"/>
      <c r="K36" s="995"/>
      <c r="L36" s="995"/>
      <c r="M36" s="996"/>
      <c r="O36" s="498" t="s">
        <v>296</v>
      </c>
      <c r="P36" s="344"/>
      <c r="Q36" s="344"/>
      <c r="R36" s="344"/>
      <c r="AA36" s="354" t="s">
        <v>439</v>
      </c>
      <c r="AB36" s="354"/>
      <c r="AC36" s="354" t="s">
        <v>438</v>
      </c>
      <c r="AD36" s="352"/>
      <c r="AE36" s="380"/>
      <c r="AF36" s="380" t="str">
        <f t="shared" si="0"/>
        <v>Eingriffstiefe angeben</v>
      </c>
      <c r="AG36" s="380"/>
      <c r="AH36" s="380"/>
      <c r="AI36" s="380"/>
      <c r="AJ36" s="380"/>
      <c r="AK36" s="380"/>
      <c r="AL36" s="380"/>
      <c r="AM36" s="380"/>
      <c r="AN36" s="380"/>
      <c r="AO36" s="380"/>
      <c r="AP36" s="380"/>
      <c r="AQ36" s="380"/>
      <c r="AR36" s="380"/>
    </row>
    <row r="37" spans="2:44" ht="13.5" customHeight="1" outlineLevel="1" x14ac:dyDescent="0.2">
      <c r="B37" s="1025"/>
      <c r="C37" s="36" t="s">
        <v>410</v>
      </c>
      <c r="D37" s="95"/>
      <c r="E37" s="38"/>
      <c r="F37" s="4" t="s">
        <v>99</v>
      </c>
      <c r="G37" s="994"/>
      <c r="H37" s="995"/>
      <c r="I37" s="995"/>
      <c r="J37" s="995"/>
      <c r="K37" s="995"/>
      <c r="L37" s="995"/>
      <c r="M37" s="996"/>
      <c r="O37" s="498"/>
      <c r="P37" s="344"/>
      <c r="Q37" s="344"/>
      <c r="R37" s="344"/>
      <c r="AA37" s="355" t="s">
        <v>416</v>
      </c>
      <c r="AB37" s="355"/>
      <c r="AC37" s="354" t="s">
        <v>439</v>
      </c>
      <c r="AD37" s="352"/>
      <c r="AE37" s="380"/>
      <c r="AF37" s="380" t="str">
        <f t="shared" si="0"/>
        <v>Eingriffstiefe angeben</v>
      </c>
      <c r="AG37" s="380"/>
      <c r="AH37" s="380"/>
      <c r="AI37" s="380"/>
      <c r="AJ37" s="380"/>
      <c r="AK37" s="380"/>
      <c r="AL37" s="380"/>
      <c r="AM37" s="380"/>
      <c r="AN37" s="380"/>
      <c r="AO37" s="380"/>
      <c r="AP37" s="380"/>
      <c r="AQ37" s="380"/>
      <c r="AR37" s="380"/>
    </row>
    <row r="38" spans="2:44" ht="13.5" customHeight="1" outlineLevel="1" x14ac:dyDescent="0.2">
      <c r="B38" s="1025"/>
      <c r="C38" s="36" t="s">
        <v>189</v>
      </c>
      <c r="D38" s="95"/>
      <c r="E38" s="38"/>
      <c r="F38" s="4" t="s">
        <v>99</v>
      </c>
      <c r="G38" s="994"/>
      <c r="H38" s="995"/>
      <c r="I38" s="995"/>
      <c r="J38" s="995"/>
      <c r="K38" s="995"/>
      <c r="L38" s="995"/>
      <c r="M38" s="996"/>
      <c r="O38" s="498"/>
      <c r="P38" s="344"/>
      <c r="Q38" s="344"/>
      <c r="R38" s="344"/>
      <c r="AA38" s="506" t="s">
        <v>185</v>
      </c>
      <c r="AB38" s="355"/>
      <c r="AC38" s="506" t="s">
        <v>185</v>
      </c>
      <c r="AD38" s="352"/>
      <c r="AE38" s="380"/>
      <c r="AF38" s="501" t="str">
        <f t="shared" si="0"/>
        <v>Eingriffstiefe angeben</v>
      </c>
      <c r="AG38" s="380"/>
      <c r="AH38" s="380"/>
      <c r="AI38" s="380"/>
      <c r="AJ38" s="380"/>
      <c r="AK38" s="380"/>
      <c r="AL38" s="380"/>
      <c r="AM38" s="380"/>
      <c r="AN38" s="380"/>
      <c r="AO38" s="380"/>
      <c r="AP38" s="380"/>
      <c r="AQ38" s="380"/>
      <c r="AR38" s="380"/>
    </row>
    <row r="39" spans="2:44" ht="13.5" customHeight="1" outlineLevel="1" x14ac:dyDescent="0.2">
      <c r="B39" s="1025"/>
      <c r="C39" s="36" t="s">
        <v>104</v>
      </c>
      <c r="D39" s="95"/>
      <c r="E39" s="38"/>
      <c r="F39" s="4" t="s">
        <v>99</v>
      </c>
      <c r="G39" s="994"/>
      <c r="H39" s="995"/>
      <c r="I39" s="995"/>
      <c r="J39" s="995"/>
      <c r="K39" s="995"/>
      <c r="L39" s="995"/>
      <c r="M39" s="996"/>
      <c r="O39" s="498" t="s">
        <v>310</v>
      </c>
      <c r="P39" s="344"/>
      <c r="Q39" s="344"/>
      <c r="R39" s="344"/>
      <c r="AA39" s="505"/>
      <c r="AB39" s="505"/>
      <c r="AC39" s="505"/>
      <c r="AD39" s="500"/>
      <c r="AE39" s="380"/>
      <c r="AF39" s="380"/>
      <c r="AG39" s="380"/>
      <c r="AH39" s="380"/>
      <c r="AI39" s="380"/>
      <c r="AJ39" s="380"/>
      <c r="AK39" s="380"/>
      <c r="AL39" s="380"/>
      <c r="AM39" s="380"/>
      <c r="AN39" s="380"/>
      <c r="AO39" s="380"/>
      <c r="AP39" s="380"/>
      <c r="AQ39" s="380"/>
      <c r="AR39" s="380"/>
    </row>
    <row r="40" spans="2:44" ht="13.5" customHeight="1" outlineLevel="1" x14ac:dyDescent="0.2">
      <c r="B40" s="1025"/>
      <c r="C40" s="36" t="s">
        <v>105</v>
      </c>
      <c r="D40" s="95"/>
      <c r="E40" s="38"/>
      <c r="F40" s="4" t="s">
        <v>99</v>
      </c>
      <c r="G40" s="994"/>
      <c r="H40" s="995"/>
      <c r="I40" s="995"/>
      <c r="J40" s="995"/>
      <c r="K40" s="995"/>
      <c r="L40" s="995"/>
      <c r="M40" s="996"/>
      <c r="O40" s="498" t="s">
        <v>311</v>
      </c>
      <c r="P40" s="344"/>
      <c r="Q40" s="344"/>
      <c r="R40" s="344"/>
      <c r="AA40" s="354" t="s">
        <v>440</v>
      </c>
      <c r="AB40" s="354"/>
      <c r="AC40" s="354" t="s">
        <v>468</v>
      </c>
      <c r="AD40" s="500"/>
      <c r="AE40" s="380"/>
      <c r="AF40" s="380" t="str">
        <f t="shared" si="0"/>
        <v>Eingriffstiefe angeben</v>
      </c>
      <c r="AG40" s="380"/>
      <c r="AH40" s="380"/>
      <c r="AI40" s="380"/>
      <c r="AJ40" s="380"/>
      <c r="AK40" s="380"/>
      <c r="AL40" s="380"/>
      <c r="AM40" s="380"/>
      <c r="AN40" s="380"/>
      <c r="AO40" s="380"/>
      <c r="AP40" s="380"/>
      <c r="AQ40" s="380"/>
      <c r="AR40" s="380"/>
    </row>
    <row r="41" spans="2:44" ht="13.5" customHeight="1" outlineLevel="1" x14ac:dyDescent="0.2">
      <c r="B41" s="1025"/>
      <c r="C41" s="36" t="s">
        <v>106</v>
      </c>
      <c r="D41" s="95"/>
      <c r="E41" s="38"/>
      <c r="F41" s="4" t="s">
        <v>99</v>
      </c>
      <c r="G41" s="994"/>
      <c r="H41" s="995"/>
      <c r="I41" s="995"/>
      <c r="J41" s="995"/>
      <c r="K41" s="995"/>
      <c r="L41" s="995"/>
      <c r="M41" s="996"/>
      <c r="O41" s="498" t="s">
        <v>312</v>
      </c>
      <c r="P41" s="344"/>
      <c r="Q41" s="344"/>
      <c r="R41" s="344"/>
      <c r="AA41" s="354" t="s">
        <v>418</v>
      </c>
      <c r="AB41" s="354"/>
      <c r="AC41" s="354" t="s">
        <v>418</v>
      </c>
      <c r="AD41" s="500"/>
      <c r="AE41" s="380"/>
      <c r="AF41" s="380" t="str">
        <f t="shared" si="0"/>
        <v>Eingriffstiefe angeben</v>
      </c>
      <c r="AG41" s="380"/>
      <c r="AH41" s="380"/>
      <c r="AI41" s="380"/>
      <c r="AJ41" s="380"/>
      <c r="AK41" s="380"/>
      <c r="AL41" s="380"/>
      <c r="AM41" s="380"/>
      <c r="AN41" s="380"/>
      <c r="AO41" s="380"/>
      <c r="AP41" s="380"/>
      <c r="AQ41" s="380"/>
      <c r="AR41" s="380"/>
    </row>
    <row r="42" spans="2:44" ht="13.5" customHeight="1" outlineLevel="1" x14ac:dyDescent="0.2">
      <c r="B42" s="1025"/>
      <c r="C42" s="109" t="s">
        <v>107</v>
      </c>
      <c r="D42" s="110"/>
      <c r="E42" s="91"/>
      <c r="F42" s="18" t="s">
        <v>99</v>
      </c>
      <c r="G42" s="997"/>
      <c r="H42" s="998"/>
      <c r="I42" s="998"/>
      <c r="J42" s="998"/>
      <c r="K42" s="998"/>
      <c r="L42" s="998"/>
      <c r="M42" s="999"/>
      <c r="O42" s="498" t="s">
        <v>313</v>
      </c>
      <c r="P42" s="344"/>
      <c r="Q42" s="344"/>
      <c r="R42" s="344"/>
      <c r="AA42" s="354" t="s">
        <v>441</v>
      </c>
      <c r="AB42" s="354"/>
      <c r="AC42" s="354" t="s">
        <v>469</v>
      </c>
      <c r="AD42" s="507"/>
      <c r="AE42" s="380"/>
      <c r="AF42" s="380" t="str">
        <f t="shared" si="0"/>
        <v>Eingriffstiefe angeben</v>
      </c>
      <c r="AG42" s="380"/>
      <c r="AH42" s="380"/>
      <c r="AI42" s="380"/>
      <c r="AJ42" s="380"/>
      <c r="AK42" s="380"/>
      <c r="AL42" s="380"/>
      <c r="AM42" s="380"/>
      <c r="AN42" s="380"/>
      <c r="AO42" s="380"/>
      <c r="AP42" s="380"/>
      <c r="AQ42" s="380"/>
      <c r="AR42" s="380"/>
    </row>
    <row r="43" spans="2:44" ht="49.5" customHeight="1" outlineLevel="1" x14ac:dyDescent="0.2">
      <c r="B43" s="1025"/>
      <c r="C43" s="1018" t="s">
        <v>622</v>
      </c>
      <c r="D43" s="1019"/>
      <c r="E43" s="1020"/>
      <c r="F43" s="528" t="s">
        <v>99</v>
      </c>
      <c r="G43" s="1014"/>
      <c r="H43" s="1010"/>
      <c r="I43" s="1010"/>
      <c r="J43" s="1010"/>
      <c r="K43" s="1010"/>
      <c r="L43" s="1010"/>
      <c r="M43" s="1011"/>
      <c r="O43" s="498"/>
      <c r="P43" s="344"/>
      <c r="Q43" s="344"/>
      <c r="R43" s="344"/>
      <c r="AA43" s="354" t="s">
        <v>442</v>
      </c>
      <c r="AB43" s="354"/>
      <c r="AC43" s="354" t="s">
        <v>470</v>
      </c>
      <c r="AD43" s="352"/>
      <c r="AE43" s="380"/>
      <c r="AF43" s="380" t="str">
        <f t="shared" si="0"/>
        <v>Eingriffstiefe angeben</v>
      </c>
      <c r="AG43" s="380"/>
      <c r="AH43" s="380"/>
      <c r="AI43" s="380"/>
      <c r="AJ43" s="380"/>
      <c r="AK43" s="380"/>
      <c r="AL43" s="380"/>
      <c r="AM43" s="380"/>
      <c r="AN43" s="380"/>
      <c r="AO43" s="380"/>
      <c r="AP43" s="380"/>
      <c r="AQ43" s="380"/>
      <c r="AR43" s="380"/>
    </row>
    <row r="44" spans="2:44" ht="49.5" customHeight="1" outlineLevel="1" x14ac:dyDescent="0.2">
      <c r="B44" s="1026"/>
      <c r="C44" s="1018" t="s">
        <v>572</v>
      </c>
      <c r="D44" s="1019"/>
      <c r="E44" s="1020"/>
      <c r="F44" s="528" t="s">
        <v>99</v>
      </c>
      <c r="G44" s="1009"/>
      <c r="H44" s="1010"/>
      <c r="I44" s="1010"/>
      <c r="J44" s="1010"/>
      <c r="K44" s="1010"/>
      <c r="L44" s="1010"/>
      <c r="M44" s="1011"/>
      <c r="O44" s="498"/>
      <c r="P44" s="344"/>
      <c r="Q44" s="344"/>
      <c r="R44" s="344"/>
      <c r="AA44" s="354" t="s">
        <v>443</v>
      </c>
      <c r="AB44" s="354"/>
      <c r="AC44" s="354" t="s">
        <v>443</v>
      </c>
      <c r="AD44" s="352"/>
      <c r="AE44" s="380"/>
      <c r="AF44" s="380" t="str">
        <f t="shared" si="0"/>
        <v>Eingriffstiefe angeben</v>
      </c>
      <c r="AG44" s="380"/>
      <c r="AH44" s="380"/>
      <c r="AI44" s="380"/>
      <c r="AJ44" s="380"/>
      <c r="AK44" s="380"/>
      <c r="AL44" s="380"/>
      <c r="AM44" s="380"/>
      <c r="AN44" s="380"/>
      <c r="AO44" s="380"/>
      <c r="AP44" s="380"/>
      <c r="AQ44" s="380"/>
      <c r="AR44" s="380"/>
    </row>
    <row r="45" spans="2:44" ht="12" customHeight="1" x14ac:dyDescent="0.2">
      <c r="G45" s="9"/>
      <c r="H45" s="9"/>
      <c r="I45" s="9"/>
      <c r="J45" s="9"/>
      <c r="K45" s="9"/>
      <c r="O45" s="498" t="s">
        <v>314</v>
      </c>
      <c r="P45" s="344"/>
      <c r="Q45" s="344"/>
      <c r="R45" s="344"/>
      <c r="AA45" s="354" t="s">
        <v>444</v>
      </c>
      <c r="AB45" s="354"/>
      <c r="AC45" s="354" t="s">
        <v>444</v>
      </c>
      <c r="AD45" s="352"/>
      <c r="AE45" s="380"/>
      <c r="AF45" s="380" t="str">
        <f t="shared" si="0"/>
        <v>Eingriffstiefe angeben</v>
      </c>
      <c r="AG45" s="380"/>
      <c r="AH45" s="380"/>
      <c r="AI45" s="380"/>
      <c r="AJ45" s="380"/>
      <c r="AK45" s="380"/>
      <c r="AL45" s="380"/>
      <c r="AM45" s="380"/>
      <c r="AN45" s="380"/>
      <c r="AO45" s="380"/>
      <c r="AP45" s="380"/>
      <c r="AQ45" s="380"/>
      <c r="AR45" s="380"/>
    </row>
    <row r="46" spans="2:44" ht="24" customHeight="1" outlineLevel="1" x14ac:dyDescent="0.2">
      <c r="B46" s="1024"/>
      <c r="C46" s="305" t="s">
        <v>339</v>
      </c>
      <c r="D46" s="183"/>
      <c r="E46" s="183"/>
      <c r="F46" s="183"/>
      <c r="G46" s="1000"/>
      <c r="H46" s="1001"/>
      <c r="I46" s="1001"/>
      <c r="J46" s="1001"/>
      <c r="K46" s="1001"/>
      <c r="L46" s="1001"/>
      <c r="M46" s="1002"/>
      <c r="O46" s="498" t="s">
        <v>315</v>
      </c>
      <c r="P46" s="344"/>
      <c r="Q46" s="344"/>
      <c r="R46" s="344"/>
      <c r="AA46" s="354" t="s">
        <v>445</v>
      </c>
      <c r="AB46" s="355"/>
      <c r="AC46" s="354" t="s">
        <v>445</v>
      </c>
      <c r="AD46" s="352"/>
      <c r="AE46" s="380"/>
      <c r="AF46" s="380" t="str">
        <f t="shared" si="0"/>
        <v>Eingriffstiefe angeben</v>
      </c>
      <c r="AG46" s="380"/>
      <c r="AH46" s="380"/>
      <c r="AI46" s="380"/>
      <c r="AJ46" s="380"/>
      <c r="AK46" s="380"/>
      <c r="AL46" s="380"/>
      <c r="AM46" s="380"/>
      <c r="AN46" s="380"/>
      <c r="AO46" s="380"/>
      <c r="AP46" s="380"/>
      <c r="AQ46" s="380"/>
      <c r="AR46" s="380"/>
    </row>
    <row r="47" spans="2:44" ht="13.5" customHeight="1" outlineLevel="1" x14ac:dyDescent="0.2">
      <c r="B47" s="1025"/>
      <c r="C47" s="102" t="s">
        <v>100</v>
      </c>
      <c r="D47" s="119"/>
      <c r="E47" s="89"/>
      <c r="F47" s="17" t="s">
        <v>99</v>
      </c>
      <c r="G47" s="1003"/>
      <c r="H47" s="1004"/>
      <c r="I47" s="1004"/>
      <c r="J47" s="1004"/>
      <c r="K47" s="1004"/>
      <c r="L47" s="1004"/>
      <c r="M47" s="1005"/>
      <c r="O47" s="498" t="s">
        <v>296</v>
      </c>
      <c r="P47" s="344"/>
      <c r="Q47" s="344"/>
      <c r="R47" s="344"/>
      <c r="AA47" s="506" t="s">
        <v>186</v>
      </c>
      <c r="AB47" s="355"/>
      <c r="AC47" s="506" t="s">
        <v>186</v>
      </c>
      <c r="AD47" s="352"/>
      <c r="AE47" s="380"/>
      <c r="AF47" s="501" t="str">
        <f t="shared" si="0"/>
        <v>Eingriffstiefe angeben</v>
      </c>
      <c r="AG47" s="380"/>
      <c r="AH47" s="380"/>
      <c r="AI47" s="380"/>
      <c r="AJ47" s="380"/>
      <c r="AK47" s="380"/>
      <c r="AL47" s="380"/>
      <c r="AM47" s="380"/>
      <c r="AN47" s="380"/>
      <c r="AO47" s="380"/>
      <c r="AP47" s="380"/>
      <c r="AQ47" s="380"/>
      <c r="AR47" s="380"/>
    </row>
    <row r="48" spans="2:44" ht="13.5" customHeight="1" outlineLevel="1" x14ac:dyDescent="0.2">
      <c r="B48" s="1025"/>
      <c r="C48" s="36" t="s">
        <v>101</v>
      </c>
      <c r="D48" s="95"/>
      <c r="E48" s="38"/>
      <c r="F48" s="4" t="s">
        <v>99</v>
      </c>
      <c r="G48" s="994"/>
      <c r="H48" s="995"/>
      <c r="I48" s="995"/>
      <c r="J48" s="995"/>
      <c r="K48" s="995"/>
      <c r="L48" s="995"/>
      <c r="M48" s="996"/>
      <c r="O48" s="498"/>
      <c r="P48" s="344"/>
      <c r="Q48" s="344"/>
      <c r="R48" s="344"/>
      <c r="AA48" s="505"/>
      <c r="AB48" s="505"/>
      <c r="AC48" s="505"/>
      <c r="AD48" s="352"/>
      <c r="AE48" s="380"/>
      <c r="AF48" s="380"/>
      <c r="AG48" s="380"/>
      <c r="AH48" s="380"/>
      <c r="AI48" s="380"/>
      <c r="AJ48" s="380"/>
      <c r="AK48" s="380"/>
      <c r="AL48" s="380"/>
      <c r="AM48" s="380"/>
      <c r="AN48" s="380"/>
      <c r="AO48" s="380"/>
      <c r="AP48" s="380"/>
      <c r="AQ48" s="380"/>
      <c r="AR48" s="380"/>
    </row>
    <row r="49" spans="2:44" ht="13.5" customHeight="1" outlineLevel="1" x14ac:dyDescent="0.2">
      <c r="B49" s="1025"/>
      <c r="C49" s="36" t="s">
        <v>102</v>
      </c>
      <c r="D49" s="95"/>
      <c r="E49" s="38"/>
      <c r="F49" s="4" t="s">
        <v>99</v>
      </c>
      <c r="G49" s="994"/>
      <c r="H49" s="995"/>
      <c r="I49" s="995"/>
      <c r="J49" s="995"/>
      <c r="K49" s="995"/>
      <c r="L49" s="995"/>
      <c r="M49" s="996"/>
      <c r="O49" s="498" t="s">
        <v>316</v>
      </c>
      <c r="P49" s="344"/>
      <c r="Q49" s="344"/>
      <c r="R49" s="344"/>
      <c r="AA49" s="354" t="s">
        <v>440</v>
      </c>
      <c r="AB49" s="354"/>
      <c r="AC49" s="354" t="s">
        <v>471</v>
      </c>
      <c r="AD49" s="352"/>
      <c r="AE49" s="380"/>
      <c r="AF49" s="380" t="str">
        <f t="shared" si="0"/>
        <v>Eingriffstiefe angeben</v>
      </c>
      <c r="AG49" s="380"/>
      <c r="AH49" s="380"/>
      <c r="AI49" s="380"/>
      <c r="AJ49" s="380"/>
      <c r="AK49" s="380"/>
      <c r="AL49" s="380"/>
      <c r="AM49" s="380"/>
      <c r="AN49" s="380"/>
      <c r="AO49" s="380"/>
      <c r="AP49" s="380"/>
      <c r="AQ49" s="380"/>
      <c r="AR49" s="380"/>
    </row>
    <row r="50" spans="2:44" ht="13.5" customHeight="1" outlineLevel="1" x14ac:dyDescent="0.2">
      <c r="B50" s="1025"/>
      <c r="C50" s="36" t="s">
        <v>103</v>
      </c>
      <c r="D50" s="95"/>
      <c r="E50" s="38"/>
      <c r="F50" s="4" t="s">
        <v>99</v>
      </c>
      <c r="G50" s="994"/>
      <c r="H50" s="995"/>
      <c r="I50" s="995"/>
      <c r="J50" s="995"/>
      <c r="K50" s="995"/>
      <c r="L50" s="995"/>
      <c r="M50" s="996"/>
      <c r="O50" s="498" t="s">
        <v>317</v>
      </c>
      <c r="P50" s="344"/>
      <c r="Q50" s="344"/>
      <c r="R50" s="344"/>
      <c r="AA50" s="354" t="s">
        <v>446</v>
      </c>
      <c r="AB50" s="354"/>
      <c r="AC50" s="354" t="s">
        <v>474</v>
      </c>
      <c r="AD50" s="500"/>
      <c r="AE50" s="380"/>
      <c r="AF50" s="380" t="str">
        <f t="shared" si="0"/>
        <v>Eingriffstiefe angeben</v>
      </c>
      <c r="AG50" s="380"/>
      <c r="AH50" s="380"/>
      <c r="AI50" s="380"/>
      <c r="AJ50" s="380"/>
      <c r="AK50" s="380"/>
      <c r="AL50" s="380"/>
      <c r="AM50" s="380"/>
      <c r="AN50" s="380"/>
      <c r="AO50" s="380"/>
      <c r="AP50" s="380"/>
      <c r="AQ50" s="380"/>
      <c r="AR50" s="380"/>
    </row>
    <row r="51" spans="2:44" ht="13.5" customHeight="1" outlineLevel="1" x14ac:dyDescent="0.2">
      <c r="B51" s="1025"/>
      <c r="C51" s="36" t="s">
        <v>370</v>
      </c>
      <c r="D51" s="95"/>
      <c r="E51" s="38"/>
      <c r="F51" s="4" t="s">
        <v>99</v>
      </c>
      <c r="G51" s="994"/>
      <c r="H51" s="1012"/>
      <c r="I51" s="1012"/>
      <c r="J51" s="1012"/>
      <c r="K51" s="1012"/>
      <c r="L51" s="1012"/>
      <c r="M51" s="1013"/>
      <c r="O51" s="498" t="s">
        <v>318</v>
      </c>
      <c r="P51" s="344"/>
      <c r="Q51" s="344"/>
      <c r="R51" s="344"/>
      <c r="AA51" s="354" t="s">
        <v>447</v>
      </c>
      <c r="AB51" s="355"/>
      <c r="AC51" s="354" t="s">
        <v>472</v>
      </c>
      <c r="AD51" s="500"/>
      <c r="AE51" s="380"/>
      <c r="AF51" s="380" t="str">
        <f t="shared" si="0"/>
        <v>Eingriffstiefe angeben</v>
      </c>
      <c r="AG51" s="380"/>
      <c r="AH51" s="380"/>
      <c r="AI51" s="380"/>
      <c r="AJ51" s="380"/>
      <c r="AK51" s="380"/>
      <c r="AL51" s="380"/>
      <c r="AM51" s="380"/>
      <c r="AN51" s="380"/>
      <c r="AO51" s="380"/>
      <c r="AP51" s="380"/>
      <c r="AQ51" s="380"/>
      <c r="AR51" s="380"/>
    </row>
    <row r="52" spans="2:44" ht="13.5" customHeight="1" outlineLevel="1" x14ac:dyDescent="0.2">
      <c r="B52" s="1025"/>
      <c r="C52" s="36" t="s">
        <v>569</v>
      </c>
      <c r="D52" s="95"/>
      <c r="E52" s="38"/>
      <c r="F52" s="4" t="s">
        <v>99</v>
      </c>
      <c r="G52" s="994"/>
      <c r="H52" s="995"/>
      <c r="I52" s="995"/>
      <c r="J52" s="995"/>
      <c r="K52" s="995"/>
      <c r="L52" s="995"/>
      <c r="M52" s="996"/>
      <c r="O52" s="498" t="s">
        <v>319</v>
      </c>
      <c r="P52" s="344"/>
      <c r="Q52" s="344"/>
      <c r="R52" s="344"/>
      <c r="AA52" s="354" t="s">
        <v>448</v>
      </c>
      <c r="AB52" s="355"/>
      <c r="AC52" s="354" t="s">
        <v>473</v>
      </c>
      <c r="AD52" s="507"/>
      <c r="AE52" s="503"/>
      <c r="AF52" s="380" t="str">
        <f t="shared" si="0"/>
        <v>Eingriffstiefe angeben</v>
      </c>
      <c r="AG52" s="380"/>
      <c r="AH52" s="380"/>
      <c r="AI52" s="380"/>
      <c r="AJ52" s="380"/>
      <c r="AK52" s="380"/>
      <c r="AL52" s="380"/>
      <c r="AM52" s="380"/>
      <c r="AN52" s="380"/>
      <c r="AO52" s="380"/>
      <c r="AP52" s="380"/>
      <c r="AQ52" s="380"/>
      <c r="AR52" s="380"/>
    </row>
    <row r="53" spans="2:44" ht="13.5" customHeight="1" outlineLevel="1" x14ac:dyDescent="0.2">
      <c r="B53" s="1025"/>
      <c r="C53" s="36" t="s">
        <v>412</v>
      </c>
      <c r="D53" s="95"/>
      <c r="E53" s="38"/>
      <c r="F53" s="4" t="s">
        <v>99</v>
      </c>
      <c r="G53" s="994"/>
      <c r="H53" s="995"/>
      <c r="I53" s="995"/>
      <c r="J53" s="995"/>
      <c r="K53" s="995"/>
      <c r="L53" s="995"/>
      <c r="M53" s="996"/>
      <c r="O53" s="498" t="s">
        <v>320</v>
      </c>
      <c r="P53" s="344"/>
      <c r="Q53" s="344"/>
      <c r="R53" s="344"/>
      <c r="AA53" s="506" t="s">
        <v>187</v>
      </c>
      <c r="AB53" s="355"/>
      <c r="AC53" s="506" t="s">
        <v>187</v>
      </c>
      <c r="AD53" s="352"/>
      <c r="AE53" s="380"/>
      <c r="AF53" s="501" t="str">
        <f t="shared" si="0"/>
        <v>Eingriffstiefe angeben</v>
      </c>
      <c r="AG53" s="380"/>
      <c r="AH53" s="380"/>
      <c r="AI53" s="380"/>
      <c r="AJ53" s="380"/>
      <c r="AK53" s="380"/>
      <c r="AL53" s="380"/>
      <c r="AM53" s="380"/>
      <c r="AN53" s="380"/>
      <c r="AO53" s="380"/>
      <c r="AP53" s="380"/>
      <c r="AQ53" s="380"/>
      <c r="AR53" s="380"/>
    </row>
    <row r="54" spans="2:44" ht="13.5" customHeight="1" outlineLevel="1" x14ac:dyDescent="0.2">
      <c r="B54" s="1025"/>
      <c r="C54" s="36" t="s">
        <v>188</v>
      </c>
      <c r="D54" s="95"/>
      <c r="E54" s="38"/>
      <c r="F54" s="4" t="s">
        <v>99</v>
      </c>
      <c r="G54" s="994"/>
      <c r="H54" s="995"/>
      <c r="I54" s="995"/>
      <c r="J54" s="995"/>
      <c r="K54" s="995"/>
      <c r="L54" s="995"/>
      <c r="M54" s="996"/>
      <c r="O54" s="498" t="s">
        <v>296</v>
      </c>
      <c r="P54" s="344"/>
      <c r="Q54" s="344"/>
      <c r="R54" s="344"/>
      <c r="AA54" s="505"/>
      <c r="AB54" s="505"/>
      <c r="AC54" s="505"/>
      <c r="AD54" s="352"/>
      <c r="AE54" s="380"/>
      <c r="AF54" s="380"/>
      <c r="AG54" s="380"/>
      <c r="AH54" s="380"/>
      <c r="AI54" s="380"/>
      <c r="AJ54" s="380"/>
      <c r="AK54" s="380"/>
      <c r="AL54" s="380"/>
      <c r="AM54" s="380"/>
      <c r="AN54" s="380"/>
      <c r="AO54" s="380"/>
      <c r="AP54" s="380"/>
      <c r="AQ54" s="380"/>
      <c r="AR54" s="380"/>
    </row>
    <row r="55" spans="2:44" ht="13.5" customHeight="1" outlineLevel="1" x14ac:dyDescent="0.2">
      <c r="B55" s="1025"/>
      <c r="C55" s="36" t="s">
        <v>410</v>
      </c>
      <c r="D55" s="95"/>
      <c r="E55" s="38"/>
      <c r="F55" s="4" t="s">
        <v>99</v>
      </c>
      <c r="G55" s="994"/>
      <c r="H55" s="995"/>
      <c r="I55" s="995"/>
      <c r="J55" s="995"/>
      <c r="K55" s="995"/>
      <c r="L55" s="995"/>
      <c r="M55" s="996"/>
      <c r="O55" s="498"/>
      <c r="P55" s="344"/>
      <c r="Q55" s="344"/>
      <c r="R55" s="344"/>
      <c r="AA55" s="354" t="s">
        <v>451</v>
      </c>
      <c r="AB55" s="354"/>
      <c r="AC55" s="354" t="s">
        <v>419</v>
      </c>
      <c r="AD55" s="352"/>
      <c r="AE55" s="380"/>
      <c r="AF55" s="380" t="str">
        <f t="shared" si="0"/>
        <v>Eingriffstiefe angeben</v>
      </c>
      <c r="AG55" s="380"/>
      <c r="AH55" s="380"/>
      <c r="AI55" s="380"/>
      <c r="AJ55" s="380"/>
      <c r="AK55" s="380"/>
      <c r="AL55" s="380"/>
      <c r="AM55" s="380"/>
      <c r="AN55" s="380"/>
      <c r="AO55" s="380"/>
      <c r="AP55" s="380"/>
      <c r="AQ55" s="380"/>
      <c r="AR55" s="380"/>
    </row>
    <row r="56" spans="2:44" ht="13.5" customHeight="1" outlineLevel="1" x14ac:dyDescent="0.2">
      <c r="B56" s="1025"/>
      <c r="C56" s="36" t="s">
        <v>189</v>
      </c>
      <c r="D56" s="95"/>
      <c r="E56" s="38"/>
      <c r="F56" s="4" t="s">
        <v>99</v>
      </c>
      <c r="G56" s="994"/>
      <c r="H56" s="995"/>
      <c r="I56" s="995"/>
      <c r="J56" s="995"/>
      <c r="K56" s="995"/>
      <c r="L56" s="995"/>
      <c r="M56" s="996"/>
      <c r="O56" s="498"/>
      <c r="P56" s="344"/>
      <c r="Q56" s="344"/>
      <c r="R56" s="344"/>
      <c r="AA56" s="354" t="s">
        <v>452</v>
      </c>
      <c r="AB56" s="354"/>
      <c r="AC56" s="354" t="s">
        <v>475</v>
      </c>
      <c r="AD56" s="352"/>
      <c r="AE56" s="380"/>
      <c r="AF56" s="380" t="str">
        <f t="shared" si="0"/>
        <v>Eingriffstiefe angeben</v>
      </c>
      <c r="AG56" s="380"/>
      <c r="AH56" s="380"/>
      <c r="AI56" s="380"/>
      <c r="AJ56" s="380"/>
      <c r="AK56" s="380"/>
      <c r="AL56" s="380"/>
      <c r="AM56" s="380"/>
      <c r="AN56" s="380"/>
      <c r="AO56" s="380"/>
      <c r="AP56" s="380"/>
      <c r="AQ56" s="380"/>
      <c r="AR56" s="380"/>
    </row>
    <row r="57" spans="2:44" ht="13.5" customHeight="1" outlineLevel="1" x14ac:dyDescent="0.2">
      <c r="B57" s="1025"/>
      <c r="C57" s="36" t="s">
        <v>104</v>
      </c>
      <c r="D57" s="95"/>
      <c r="E57" s="38"/>
      <c r="F57" s="4" t="s">
        <v>99</v>
      </c>
      <c r="G57" s="994"/>
      <c r="H57" s="995"/>
      <c r="I57" s="995"/>
      <c r="J57" s="995"/>
      <c r="K57" s="995"/>
      <c r="L57" s="995"/>
      <c r="M57" s="996"/>
      <c r="O57" s="498" t="s">
        <v>322</v>
      </c>
      <c r="P57" s="344"/>
      <c r="Q57" s="344"/>
      <c r="R57" s="344"/>
      <c r="AA57" s="354" t="s">
        <v>449</v>
      </c>
      <c r="AB57" s="354"/>
      <c r="AC57" s="354" t="s">
        <v>476</v>
      </c>
      <c r="AD57" s="352"/>
      <c r="AE57" s="380"/>
      <c r="AF57" s="380" t="str">
        <f t="shared" si="0"/>
        <v>Eingriffstiefe angeben</v>
      </c>
      <c r="AG57" s="380"/>
      <c r="AH57" s="380"/>
      <c r="AI57" s="380"/>
      <c r="AJ57" s="380"/>
      <c r="AK57" s="380"/>
      <c r="AL57" s="380"/>
      <c r="AM57" s="380"/>
      <c r="AN57" s="380"/>
      <c r="AO57" s="380"/>
      <c r="AP57" s="380"/>
      <c r="AQ57" s="380"/>
      <c r="AR57" s="380"/>
    </row>
    <row r="58" spans="2:44" ht="13.5" customHeight="1" outlineLevel="1" x14ac:dyDescent="0.2">
      <c r="B58" s="1025"/>
      <c r="C58" s="36" t="s">
        <v>105</v>
      </c>
      <c r="D58" s="95"/>
      <c r="E58" s="38"/>
      <c r="F58" s="4" t="s">
        <v>99</v>
      </c>
      <c r="G58" s="994"/>
      <c r="H58" s="995"/>
      <c r="I58" s="995"/>
      <c r="J58" s="995"/>
      <c r="K58" s="995"/>
      <c r="L58" s="995"/>
      <c r="M58" s="996"/>
      <c r="O58" s="498" t="s">
        <v>291</v>
      </c>
      <c r="P58" s="344"/>
      <c r="Q58" s="344"/>
      <c r="R58" s="344"/>
      <c r="AA58" s="354" t="s">
        <v>450</v>
      </c>
      <c r="AB58" s="354"/>
      <c r="AC58" s="354" t="s">
        <v>477</v>
      </c>
      <c r="AD58" s="352"/>
      <c r="AE58" s="380"/>
      <c r="AF58" s="380" t="str">
        <f t="shared" si="0"/>
        <v>Eingriffstiefe angeben</v>
      </c>
      <c r="AG58" s="380"/>
      <c r="AH58" s="380"/>
      <c r="AI58" s="380"/>
      <c r="AJ58" s="380"/>
      <c r="AK58" s="380"/>
      <c r="AL58" s="380"/>
      <c r="AM58" s="380"/>
      <c r="AN58" s="380"/>
      <c r="AO58" s="380"/>
      <c r="AP58" s="380"/>
      <c r="AQ58" s="380"/>
      <c r="AR58" s="380"/>
    </row>
    <row r="59" spans="2:44" ht="13.5" customHeight="1" outlineLevel="1" x14ac:dyDescent="0.2">
      <c r="B59" s="1025"/>
      <c r="C59" s="36" t="s">
        <v>106</v>
      </c>
      <c r="D59" s="95"/>
      <c r="E59" s="38"/>
      <c r="F59" s="4" t="s">
        <v>99</v>
      </c>
      <c r="G59" s="994"/>
      <c r="H59" s="995"/>
      <c r="I59" s="995"/>
      <c r="J59" s="995"/>
      <c r="K59" s="995"/>
      <c r="L59" s="995"/>
      <c r="M59" s="996"/>
      <c r="O59" s="498" t="s">
        <v>292</v>
      </c>
      <c r="P59" s="344"/>
      <c r="Q59" s="344"/>
      <c r="R59" s="344"/>
      <c r="AA59" s="354" t="s">
        <v>416</v>
      </c>
      <c r="AB59" s="355"/>
      <c r="AC59" s="354" t="s">
        <v>420</v>
      </c>
      <c r="AD59" s="507"/>
      <c r="AE59" s="503"/>
      <c r="AF59" s="380" t="str">
        <f t="shared" si="0"/>
        <v>Eingriffstiefe angeben</v>
      </c>
      <c r="AG59" s="380"/>
      <c r="AH59" s="380"/>
      <c r="AI59" s="380"/>
      <c r="AJ59" s="380"/>
      <c r="AK59" s="380"/>
      <c r="AL59" s="380"/>
      <c r="AM59" s="380"/>
      <c r="AN59" s="380"/>
      <c r="AO59" s="380"/>
      <c r="AP59" s="380"/>
      <c r="AQ59" s="380"/>
      <c r="AR59" s="380"/>
    </row>
    <row r="60" spans="2:44" ht="13.5" customHeight="1" outlineLevel="1" x14ac:dyDescent="0.2">
      <c r="B60" s="1025"/>
      <c r="C60" s="109" t="s">
        <v>107</v>
      </c>
      <c r="D60" s="110"/>
      <c r="E60" s="91"/>
      <c r="F60" s="18" t="s">
        <v>99</v>
      </c>
      <c r="G60" s="997"/>
      <c r="H60" s="998"/>
      <c r="I60" s="998"/>
      <c r="J60" s="998"/>
      <c r="K60" s="998"/>
      <c r="L60" s="998"/>
      <c r="M60" s="999"/>
      <c r="O60" s="498" t="s">
        <v>323</v>
      </c>
      <c r="P60" s="344"/>
      <c r="Q60" s="344"/>
      <c r="R60" s="344"/>
      <c r="AA60" s="506" t="s">
        <v>525</v>
      </c>
      <c r="AB60" s="355"/>
      <c r="AC60" s="506" t="s">
        <v>525</v>
      </c>
      <c r="AD60" s="352"/>
      <c r="AE60" s="380"/>
      <c r="AF60" s="501" t="str">
        <f t="shared" si="0"/>
        <v>Eingriffstiefe angeben</v>
      </c>
      <c r="AG60" s="380"/>
      <c r="AH60" s="380"/>
      <c r="AI60" s="380"/>
      <c r="AJ60" s="380"/>
      <c r="AK60" s="380"/>
      <c r="AL60" s="380"/>
      <c r="AM60" s="380"/>
      <c r="AN60" s="380"/>
      <c r="AO60" s="380"/>
      <c r="AP60" s="380"/>
      <c r="AQ60" s="380"/>
      <c r="AR60" s="380"/>
    </row>
    <row r="61" spans="2:44" ht="49.5" customHeight="1" outlineLevel="1" x14ac:dyDescent="0.2">
      <c r="B61" s="1025"/>
      <c r="C61" s="1018" t="s">
        <v>622</v>
      </c>
      <c r="D61" s="1019"/>
      <c r="E61" s="1020"/>
      <c r="F61" s="528" t="s">
        <v>99</v>
      </c>
      <c r="G61" s="1014"/>
      <c r="H61" s="1010"/>
      <c r="I61" s="1010"/>
      <c r="J61" s="1010"/>
      <c r="K61" s="1010"/>
      <c r="L61" s="1010"/>
      <c r="M61" s="1011"/>
      <c r="O61" s="498"/>
      <c r="P61" s="344"/>
      <c r="Q61" s="344"/>
      <c r="R61" s="344"/>
      <c r="AA61" s="505"/>
      <c r="AB61" s="505"/>
      <c r="AC61" s="505"/>
      <c r="AD61" s="352"/>
      <c r="AE61" s="380"/>
      <c r="AF61" s="380"/>
      <c r="AG61" s="380"/>
      <c r="AH61" s="380"/>
      <c r="AI61" s="380"/>
      <c r="AJ61" s="380"/>
      <c r="AK61" s="380"/>
      <c r="AL61" s="380"/>
      <c r="AM61" s="380"/>
      <c r="AN61" s="380"/>
      <c r="AO61" s="380"/>
      <c r="AP61" s="380"/>
      <c r="AQ61" s="380"/>
      <c r="AR61" s="380"/>
    </row>
    <row r="62" spans="2:44" ht="49.5" customHeight="1" outlineLevel="1" x14ac:dyDescent="0.2">
      <c r="B62" s="1026"/>
      <c r="C62" s="1018" t="s">
        <v>572</v>
      </c>
      <c r="D62" s="1019"/>
      <c r="E62" s="1020"/>
      <c r="F62" s="528" t="s">
        <v>99</v>
      </c>
      <c r="G62" s="1009"/>
      <c r="H62" s="1010"/>
      <c r="I62" s="1010"/>
      <c r="J62" s="1010"/>
      <c r="K62" s="1010"/>
      <c r="L62" s="1010"/>
      <c r="M62" s="1011"/>
      <c r="O62" s="498"/>
      <c r="P62" s="344"/>
      <c r="Q62" s="344"/>
      <c r="R62" s="344"/>
      <c r="AA62" s="354" t="s">
        <v>526</v>
      </c>
      <c r="AB62" s="354"/>
      <c r="AC62" s="354" t="s">
        <v>526</v>
      </c>
      <c r="AD62" s="352"/>
      <c r="AE62" s="380"/>
      <c r="AF62" s="380" t="str">
        <f t="shared" si="0"/>
        <v>Eingriffstiefe angeben</v>
      </c>
      <c r="AG62" s="380"/>
      <c r="AH62" s="380"/>
      <c r="AI62" s="380"/>
      <c r="AJ62" s="380"/>
      <c r="AK62" s="380"/>
      <c r="AL62" s="380"/>
      <c r="AM62" s="380"/>
      <c r="AN62" s="380"/>
      <c r="AO62" s="380"/>
      <c r="AP62" s="380"/>
      <c r="AQ62" s="380"/>
      <c r="AR62" s="380"/>
    </row>
    <row r="63" spans="2:44" ht="12" customHeight="1" x14ac:dyDescent="0.2">
      <c r="G63" s="9"/>
      <c r="H63" s="9"/>
      <c r="I63" s="9"/>
      <c r="J63" s="9"/>
      <c r="K63" s="9"/>
      <c r="O63" s="498" t="s">
        <v>296</v>
      </c>
      <c r="P63" s="344"/>
      <c r="Q63" s="344"/>
      <c r="R63" s="344"/>
      <c r="AA63" s="354" t="s">
        <v>527</v>
      </c>
      <c r="AB63" s="355"/>
      <c r="AC63" s="354" t="s">
        <v>527</v>
      </c>
      <c r="AD63" s="352"/>
      <c r="AE63" s="380"/>
      <c r="AF63" s="380" t="str">
        <f t="shared" si="0"/>
        <v>Eingriffstiefe angeben</v>
      </c>
      <c r="AG63" s="380"/>
      <c r="AH63" s="380"/>
      <c r="AI63" s="380"/>
      <c r="AJ63" s="380"/>
      <c r="AK63" s="380"/>
      <c r="AL63" s="380"/>
      <c r="AM63" s="380"/>
      <c r="AN63" s="380"/>
      <c r="AO63" s="380"/>
      <c r="AP63" s="380"/>
      <c r="AQ63" s="380"/>
      <c r="AR63" s="380"/>
    </row>
    <row r="64" spans="2:44" ht="24" customHeight="1" outlineLevel="1" x14ac:dyDescent="0.2">
      <c r="B64" s="1024"/>
      <c r="C64" s="305" t="s">
        <v>700</v>
      </c>
      <c r="D64" s="183"/>
      <c r="E64" s="183"/>
      <c r="F64" s="183"/>
      <c r="G64" s="1000"/>
      <c r="H64" s="1001"/>
      <c r="I64" s="1001"/>
      <c r="J64" s="1001"/>
      <c r="K64" s="1001"/>
      <c r="L64" s="1001"/>
      <c r="M64" s="1002"/>
      <c r="O64" s="498"/>
      <c r="P64" s="344"/>
      <c r="Q64" s="344"/>
      <c r="R64" s="344"/>
      <c r="AA64" s="506" t="s">
        <v>188</v>
      </c>
      <c r="AB64" s="493"/>
      <c r="AC64" s="506" t="s">
        <v>188</v>
      </c>
      <c r="AD64" s="352"/>
      <c r="AE64" s="380"/>
      <c r="AF64" s="501" t="str">
        <f t="shared" si="0"/>
        <v>Eingriffstiefe angeben</v>
      </c>
      <c r="AG64" s="380"/>
      <c r="AH64" s="380"/>
      <c r="AI64" s="380"/>
      <c r="AJ64" s="380"/>
      <c r="AK64" s="380"/>
      <c r="AL64" s="380"/>
      <c r="AM64" s="380"/>
      <c r="AN64" s="380"/>
      <c r="AO64" s="380"/>
      <c r="AP64" s="380"/>
      <c r="AQ64" s="380"/>
      <c r="AR64" s="380"/>
    </row>
    <row r="65" spans="2:44" ht="13.5" customHeight="1" outlineLevel="1" x14ac:dyDescent="0.2">
      <c r="B65" s="1025"/>
      <c r="C65" s="102" t="s">
        <v>100</v>
      </c>
      <c r="D65" s="119"/>
      <c r="E65" s="89"/>
      <c r="F65" s="17" t="s">
        <v>99</v>
      </c>
      <c r="G65" s="1003"/>
      <c r="H65" s="1004"/>
      <c r="I65" s="1004"/>
      <c r="J65" s="1004"/>
      <c r="K65" s="1004"/>
      <c r="L65" s="1004"/>
      <c r="M65" s="1005"/>
      <c r="O65" s="498" t="s">
        <v>324</v>
      </c>
      <c r="P65" s="344"/>
      <c r="Q65" s="344"/>
      <c r="R65" s="344"/>
      <c r="AA65" s="505"/>
      <c r="AB65" s="505"/>
      <c r="AC65" s="505"/>
      <c r="AD65" s="500"/>
      <c r="AE65" s="380"/>
      <c r="AF65" s="380"/>
      <c r="AG65" s="380"/>
      <c r="AH65" s="380"/>
      <c r="AI65" s="380"/>
      <c r="AJ65" s="380"/>
      <c r="AK65" s="380"/>
      <c r="AL65" s="380"/>
      <c r="AM65" s="380"/>
      <c r="AN65" s="380"/>
      <c r="AO65" s="380"/>
      <c r="AP65" s="380"/>
      <c r="AQ65" s="380"/>
      <c r="AR65" s="380"/>
    </row>
    <row r="66" spans="2:44" ht="13.5" customHeight="1" outlineLevel="1" x14ac:dyDescent="0.2">
      <c r="B66" s="1025"/>
      <c r="C66" s="36" t="s">
        <v>101</v>
      </c>
      <c r="D66" s="95"/>
      <c r="E66" s="38"/>
      <c r="F66" s="4" t="s">
        <v>99</v>
      </c>
      <c r="G66" s="994"/>
      <c r="H66" s="995"/>
      <c r="I66" s="995"/>
      <c r="J66" s="995"/>
      <c r="K66" s="995"/>
      <c r="L66" s="995"/>
      <c r="M66" s="996"/>
      <c r="O66" s="498" t="s">
        <v>312</v>
      </c>
      <c r="P66" s="344"/>
      <c r="Q66" s="344"/>
      <c r="R66" s="344"/>
      <c r="AA66" s="354" t="s">
        <v>453</v>
      </c>
      <c r="AB66" s="354"/>
      <c r="AC66" s="354" t="s">
        <v>419</v>
      </c>
      <c r="AD66" s="500"/>
      <c r="AE66" s="380"/>
      <c r="AF66" s="380" t="str">
        <f t="shared" si="0"/>
        <v>Eingriffstiefe angeben</v>
      </c>
      <c r="AG66" s="380"/>
      <c r="AH66" s="380"/>
      <c r="AI66" s="380"/>
      <c r="AJ66" s="380"/>
      <c r="AK66" s="380"/>
      <c r="AL66" s="380"/>
      <c r="AM66" s="380"/>
      <c r="AN66" s="380"/>
      <c r="AO66" s="380"/>
      <c r="AP66" s="380"/>
      <c r="AQ66" s="380"/>
      <c r="AR66" s="380"/>
    </row>
    <row r="67" spans="2:44" ht="13.5" customHeight="1" outlineLevel="1" x14ac:dyDescent="0.2">
      <c r="B67" s="1025"/>
      <c r="C67" s="36" t="s">
        <v>102</v>
      </c>
      <c r="D67" s="95"/>
      <c r="E67" s="38"/>
      <c r="F67" s="4" t="s">
        <v>99</v>
      </c>
      <c r="G67" s="994"/>
      <c r="H67" s="995"/>
      <c r="I67" s="995"/>
      <c r="J67" s="995"/>
      <c r="K67" s="995"/>
      <c r="L67" s="995"/>
      <c r="M67" s="996"/>
      <c r="O67" s="498" t="s">
        <v>313</v>
      </c>
      <c r="P67" s="344"/>
      <c r="Q67" s="344"/>
      <c r="R67" s="344"/>
      <c r="AA67" s="354" t="s">
        <v>454</v>
      </c>
      <c r="AB67" s="354"/>
      <c r="AC67" s="354" t="s">
        <v>475</v>
      </c>
      <c r="AD67" s="507"/>
      <c r="AE67" s="380"/>
      <c r="AF67" s="380" t="str">
        <f t="shared" si="0"/>
        <v>Eingriffstiefe angeben</v>
      </c>
      <c r="AG67" s="380"/>
      <c r="AH67" s="380"/>
      <c r="AI67" s="380"/>
      <c r="AJ67" s="380"/>
      <c r="AK67" s="380"/>
      <c r="AL67" s="380"/>
      <c r="AM67" s="380"/>
      <c r="AN67" s="380"/>
      <c r="AO67" s="380"/>
      <c r="AP67" s="380"/>
      <c r="AQ67" s="380"/>
      <c r="AR67" s="380"/>
    </row>
    <row r="68" spans="2:44" ht="13.5" customHeight="1" outlineLevel="1" x14ac:dyDescent="0.2">
      <c r="B68" s="1025"/>
      <c r="C68" s="36" t="s">
        <v>103</v>
      </c>
      <c r="D68" s="95"/>
      <c r="E68" s="38"/>
      <c r="F68" s="4" t="s">
        <v>99</v>
      </c>
      <c r="G68" s="994"/>
      <c r="H68" s="995"/>
      <c r="I68" s="995"/>
      <c r="J68" s="995"/>
      <c r="K68" s="995"/>
      <c r="L68" s="995"/>
      <c r="M68" s="996"/>
      <c r="O68" s="498" t="s">
        <v>325</v>
      </c>
      <c r="P68" s="344"/>
      <c r="Q68" s="344"/>
      <c r="R68" s="344"/>
      <c r="AA68" s="354" t="s">
        <v>455</v>
      </c>
      <c r="AB68" s="354"/>
      <c r="AC68" s="354" t="s">
        <v>515</v>
      </c>
      <c r="AD68" s="352"/>
      <c r="AE68" s="380"/>
      <c r="AF68" s="380" t="str">
        <f t="shared" ref="AF68:AF110" si="1">IF($BB$18&lt;=1,AA68,IF($BB$18&gt;=1000,$AT$20,AC68))</f>
        <v>Eingriffstiefe angeben</v>
      </c>
      <c r="AG68" s="380"/>
      <c r="AH68" s="380"/>
      <c r="AI68" s="380"/>
      <c r="AJ68" s="380"/>
      <c r="AK68" s="380"/>
      <c r="AL68" s="380"/>
      <c r="AM68" s="380"/>
      <c r="AN68" s="380"/>
      <c r="AO68" s="380"/>
      <c r="AP68" s="380"/>
      <c r="AQ68" s="380"/>
      <c r="AR68" s="380"/>
    </row>
    <row r="69" spans="2:44" ht="13.5" customHeight="1" outlineLevel="1" x14ac:dyDescent="0.2">
      <c r="B69" s="1025"/>
      <c r="C69" s="36" t="s">
        <v>370</v>
      </c>
      <c r="D69" s="95"/>
      <c r="E69" s="38"/>
      <c r="F69" s="4" t="s">
        <v>99</v>
      </c>
      <c r="G69" s="994"/>
      <c r="H69" s="1012"/>
      <c r="I69" s="1012"/>
      <c r="J69" s="1012"/>
      <c r="K69" s="1012"/>
      <c r="L69" s="1012"/>
      <c r="M69" s="1013"/>
      <c r="O69" s="498" t="s">
        <v>326</v>
      </c>
      <c r="P69" s="344"/>
      <c r="Q69" s="344"/>
      <c r="R69" s="344"/>
      <c r="AA69" s="354" t="s">
        <v>456</v>
      </c>
      <c r="AB69" s="355"/>
      <c r="AC69" s="354" t="s">
        <v>478</v>
      </c>
      <c r="AD69" s="352"/>
      <c r="AE69" s="380"/>
      <c r="AF69" s="380" t="str">
        <f t="shared" si="1"/>
        <v>Eingriffstiefe angeben</v>
      </c>
      <c r="AG69" s="380"/>
      <c r="AH69" s="380"/>
      <c r="AI69" s="380"/>
      <c r="AJ69" s="380"/>
      <c r="AK69" s="380"/>
      <c r="AL69" s="380"/>
      <c r="AM69" s="380"/>
      <c r="AN69" s="380"/>
      <c r="AO69" s="380"/>
      <c r="AP69" s="380"/>
      <c r="AQ69" s="380"/>
      <c r="AR69" s="380"/>
    </row>
    <row r="70" spans="2:44" ht="13.5" customHeight="1" outlineLevel="1" x14ac:dyDescent="0.2">
      <c r="B70" s="1025"/>
      <c r="C70" s="36" t="s">
        <v>569</v>
      </c>
      <c r="D70" s="95"/>
      <c r="E70" s="38"/>
      <c r="F70" s="4" t="s">
        <v>99</v>
      </c>
      <c r="G70" s="994"/>
      <c r="H70" s="995"/>
      <c r="I70" s="995"/>
      <c r="J70" s="995"/>
      <c r="K70" s="995"/>
      <c r="L70" s="995"/>
      <c r="M70" s="996"/>
      <c r="O70" s="498" t="s">
        <v>296</v>
      </c>
      <c r="P70" s="344"/>
      <c r="Q70" s="344"/>
      <c r="R70" s="344"/>
      <c r="AA70" s="354" t="s">
        <v>416</v>
      </c>
      <c r="AB70" s="355"/>
      <c r="AC70" s="354" t="s">
        <v>479</v>
      </c>
      <c r="AD70" s="494"/>
      <c r="AE70" s="380"/>
      <c r="AF70" s="380" t="str">
        <f t="shared" si="1"/>
        <v>Eingriffstiefe angeben</v>
      </c>
      <c r="AG70" s="380"/>
      <c r="AH70" s="380"/>
      <c r="AI70" s="380"/>
      <c r="AJ70" s="380"/>
      <c r="AK70" s="380"/>
      <c r="AL70" s="380"/>
      <c r="AM70" s="380"/>
      <c r="AN70" s="380"/>
      <c r="AO70" s="380"/>
      <c r="AP70" s="380"/>
      <c r="AQ70" s="380"/>
      <c r="AR70" s="380"/>
    </row>
    <row r="71" spans="2:44" ht="13.5" customHeight="1" outlineLevel="1" x14ac:dyDescent="0.2">
      <c r="B71" s="1025"/>
      <c r="C71" s="36" t="s">
        <v>412</v>
      </c>
      <c r="D71" s="95"/>
      <c r="E71" s="38"/>
      <c r="F71" s="4" t="s">
        <v>99</v>
      </c>
      <c r="G71" s="994"/>
      <c r="H71" s="995"/>
      <c r="I71" s="995"/>
      <c r="J71" s="995"/>
      <c r="K71" s="995"/>
      <c r="L71" s="995"/>
      <c r="M71" s="996"/>
      <c r="O71" s="344"/>
      <c r="P71" s="344"/>
      <c r="Q71" s="344"/>
      <c r="R71" s="344"/>
      <c r="AA71" s="506" t="s">
        <v>189</v>
      </c>
      <c r="AB71" s="355"/>
      <c r="AC71" s="506" t="s">
        <v>189</v>
      </c>
      <c r="AD71" s="494"/>
      <c r="AE71" s="380"/>
      <c r="AF71" s="501" t="str">
        <f t="shared" si="1"/>
        <v>Eingriffstiefe angeben</v>
      </c>
      <c r="AG71" s="380"/>
      <c r="AH71" s="380"/>
      <c r="AI71" s="380"/>
      <c r="AJ71" s="380"/>
      <c r="AK71" s="380"/>
      <c r="AL71" s="380"/>
      <c r="AM71" s="380"/>
      <c r="AN71" s="380"/>
      <c r="AO71" s="380"/>
      <c r="AP71" s="380"/>
      <c r="AQ71" s="380"/>
      <c r="AR71" s="380"/>
    </row>
    <row r="72" spans="2:44" ht="13.5" customHeight="1" outlineLevel="1" x14ac:dyDescent="0.2">
      <c r="B72" s="1025"/>
      <c r="C72" s="36" t="s">
        <v>188</v>
      </c>
      <c r="D72" s="95"/>
      <c r="E72" s="38"/>
      <c r="F72" s="4" t="s">
        <v>99</v>
      </c>
      <c r="G72" s="994"/>
      <c r="H72" s="995"/>
      <c r="I72" s="995"/>
      <c r="J72" s="995"/>
      <c r="K72" s="995"/>
      <c r="L72" s="995"/>
      <c r="M72" s="996"/>
      <c r="O72" s="344"/>
      <c r="P72" s="344"/>
      <c r="Q72" s="344"/>
      <c r="R72" s="344"/>
      <c r="AA72" s="505"/>
      <c r="AB72" s="505"/>
      <c r="AC72" s="505"/>
      <c r="AD72" s="507"/>
      <c r="AE72" s="380"/>
      <c r="AF72" s="380"/>
      <c r="AG72" s="380"/>
      <c r="AH72" s="380"/>
      <c r="AI72" s="380"/>
      <c r="AJ72" s="380"/>
      <c r="AK72" s="380"/>
      <c r="AL72" s="380"/>
      <c r="AM72" s="380"/>
      <c r="AN72" s="380"/>
      <c r="AO72" s="380"/>
      <c r="AP72" s="380"/>
      <c r="AQ72" s="380"/>
      <c r="AR72" s="380"/>
    </row>
    <row r="73" spans="2:44" ht="13.5" customHeight="1" outlineLevel="1" x14ac:dyDescent="0.2">
      <c r="B73" s="1025"/>
      <c r="C73" s="36" t="s">
        <v>410</v>
      </c>
      <c r="D73" s="95"/>
      <c r="E73" s="38"/>
      <c r="F73" s="4" t="s">
        <v>99</v>
      </c>
      <c r="G73" s="994"/>
      <c r="H73" s="995"/>
      <c r="I73" s="995"/>
      <c r="J73" s="995"/>
      <c r="K73" s="995"/>
      <c r="L73" s="995"/>
      <c r="M73" s="996"/>
      <c r="O73" s="344"/>
      <c r="P73" s="344"/>
      <c r="Q73" s="344"/>
      <c r="R73" s="344"/>
      <c r="AA73" s="354" t="s">
        <v>511</v>
      </c>
      <c r="AB73" s="354"/>
      <c r="AC73" s="354" t="s">
        <v>480</v>
      </c>
      <c r="AD73" s="352"/>
      <c r="AE73" s="380"/>
      <c r="AF73" s="380" t="str">
        <f t="shared" si="1"/>
        <v>Eingriffstiefe angeben</v>
      </c>
      <c r="AG73" s="380"/>
      <c r="AH73" s="380"/>
      <c r="AI73" s="380"/>
      <c r="AJ73" s="380"/>
      <c r="AK73" s="380"/>
      <c r="AL73" s="380"/>
      <c r="AM73" s="380"/>
      <c r="AN73" s="380"/>
      <c r="AO73" s="380"/>
      <c r="AP73" s="380"/>
      <c r="AQ73" s="380"/>
      <c r="AR73" s="380"/>
    </row>
    <row r="74" spans="2:44" ht="13.5" customHeight="1" outlineLevel="1" x14ac:dyDescent="0.2">
      <c r="B74" s="1025"/>
      <c r="C74" s="36" t="s">
        <v>189</v>
      </c>
      <c r="D74" s="95"/>
      <c r="E74" s="38"/>
      <c r="F74" s="4" t="s">
        <v>99</v>
      </c>
      <c r="G74" s="994"/>
      <c r="H74" s="995"/>
      <c r="I74" s="995"/>
      <c r="J74" s="995"/>
      <c r="K74" s="995"/>
      <c r="L74" s="995"/>
      <c r="M74" s="996"/>
      <c r="O74" s="508"/>
      <c r="P74" s="344"/>
      <c r="Q74" s="344"/>
      <c r="R74" s="344"/>
      <c r="AA74" s="354" t="s">
        <v>512</v>
      </c>
      <c r="AB74" s="354"/>
      <c r="AC74" s="354" t="s">
        <v>481</v>
      </c>
      <c r="AD74" s="352"/>
      <c r="AE74" s="380"/>
      <c r="AF74" s="380" t="str">
        <f t="shared" si="1"/>
        <v>Eingriffstiefe angeben</v>
      </c>
      <c r="AG74" s="380"/>
      <c r="AH74" s="380"/>
      <c r="AI74" s="380"/>
      <c r="AJ74" s="380"/>
      <c r="AK74" s="380"/>
      <c r="AL74" s="380"/>
      <c r="AM74" s="380"/>
      <c r="AN74" s="380"/>
      <c r="AO74" s="380"/>
      <c r="AP74" s="380"/>
      <c r="AQ74" s="380"/>
      <c r="AR74" s="380"/>
    </row>
    <row r="75" spans="2:44" ht="13.5" customHeight="1" outlineLevel="1" x14ac:dyDescent="0.2">
      <c r="B75" s="1025"/>
      <c r="C75" s="36" t="s">
        <v>104</v>
      </c>
      <c r="D75" s="95"/>
      <c r="E75" s="38"/>
      <c r="F75" s="4" t="s">
        <v>99</v>
      </c>
      <c r="G75" s="994"/>
      <c r="H75" s="995"/>
      <c r="I75" s="995"/>
      <c r="J75" s="995"/>
      <c r="K75" s="995"/>
      <c r="L75" s="995"/>
      <c r="M75" s="996"/>
      <c r="O75" s="380"/>
      <c r="P75" s="344"/>
      <c r="Q75" s="344"/>
      <c r="R75" s="344"/>
      <c r="AA75" s="354" t="s">
        <v>513</v>
      </c>
      <c r="AB75" s="354"/>
      <c r="AC75" s="355" t="s">
        <v>511</v>
      </c>
      <c r="AD75" s="352"/>
      <c r="AE75" s="380"/>
      <c r="AF75" s="380" t="str">
        <f t="shared" si="1"/>
        <v>Eingriffstiefe angeben</v>
      </c>
      <c r="AG75" s="380"/>
      <c r="AH75" s="380"/>
      <c r="AI75" s="380"/>
      <c r="AJ75" s="380"/>
      <c r="AK75" s="380"/>
      <c r="AL75" s="380"/>
      <c r="AM75" s="380"/>
      <c r="AN75" s="380"/>
      <c r="AO75" s="380"/>
      <c r="AP75" s="380"/>
      <c r="AQ75" s="380"/>
      <c r="AR75" s="380"/>
    </row>
    <row r="76" spans="2:44" ht="13.5" customHeight="1" outlineLevel="1" x14ac:dyDescent="0.2">
      <c r="B76" s="1025"/>
      <c r="C76" s="36" t="s">
        <v>105</v>
      </c>
      <c r="D76" s="95"/>
      <c r="E76" s="38"/>
      <c r="F76" s="4" t="s">
        <v>99</v>
      </c>
      <c r="G76" s="994"/>
      <c r="H76" s="995"/>
      <c r="I76" s="995"/>
      <c r="J76" s="995"/>
      <c r="K76" s="995"/>
      <c r="L76" s="995"/>
      <c r="M76" s="996"/>
      <c r="O76" s="380"/>
      <c r="P76" s="344"/>
      <c r="Q76" s="344"/>
      <c r="R76" s="344"/>
      <c r="AA76" s="354" t="s">
        <v>514</v>
      </c>
      <c r="AB76" s="354"/>
      <c r="AC76" s="354" t="s">
        <v>512</v>
      </c>
      <c r="AD76" s="352"/>
      <c r="AE76" s="380"/>
      <c r="AF76" s="380" t="str">
        <f t="shared" si="1"/>
        <v>Eingriffstiefe angeben</v>
      </c>
      <c r="AG76" s="380"/>
      <c r="AH76" s="380"/>
      <c r="AI76" s="380"/>
      <c r="AJ76" s="380"/>
      <c r="AK76" s="380"/>
      <c r="AL76" s="380"/>
      <c r="AM76" s="380"/>
      <c r="AN76" s="380"/>
      <c r="AO76" s="380"/>
      <c r="AP76" s="380"/>
      <c r="AQ76" s="380"/>
      <c r="AR76" s="380"/>
    </row>
    <row r="77" spans="2:44" ht="13.5" customHeight="1" outlineLevel="1" x14ac:dyDescent="0.2">
      <c r="B77" s="1025"/>
      <c r="C77" s="36" t="s">
        <v>106</v>
      </c>
      <c r="D77" s="95"/>
      <c r="E77" s="38"/>
      <c r="F77" s="4" t="s">
        <v>99</v>
      </c>
      <c r="G77" s="994"/>
      <c r="H77" s="995"/>
      <c r="I77" s="995"/>
      <c r="J77" s="995"/>
      <c r="K77" s="995"/>
      <c r="L77" s="995"/>
      <c r="M77" s="996"/>
      <c r="O77" s="380"/>
      <c r="P77" s="344"/>
      <c r="Q77" s="344"/>
      <c r="R77" s="344"/>
      <c r="AA77" s="354" t="s">
        <v>416</v>
      </c>
      <c r="AB77" s="354"/>
      <c r="AC77" s="354" t="s">
        <v>513</v>
      </c>
      <c r="AD77" s="352"/>
      <c r="AE77" s="380"/>
      <c r="AF77" s="380" t="str">
        <f t="shared" si="1"/>
        <v>Eingriffstiefe angeben</v>
      </c>
      <c r="AG77" s="380"/>
      <c r="AH77" s="380"/>
      <c r="AI77" s="380"/>
      <c r="AJ77" s="380"/>
      <c r="AK77" s="380"/>
      <c r="AL77" s="380"/>
      <c r="AM77" s="380"/>
      <c r="AN77" s="380"/>
      <c r="AO77" s="380"/>
      <c r="AP77" s="380"/>
      <c r="AQ77" s="380"/>
      <c r="AR77" s="380"/>
    </row>
    <row r="78" spans="2:44" ht="13.5" customHeight="1" outlineLevel="1" x14ac:dyDescent="0.2">
      <c r="B78" s="1025"/>
      <c r="C78" s="109" t="s">
        <v>107</v>
      </c>
      <c r="D78" s="110"/>
      <c r="E78" s="91"/>
      <c r="F78" s="18" t="s">
        <v>99</v>
      </c>
      <c r="G78" s="997"/>
      <c r="H78" s="998"/>
      <c r="I78" s="998"/>
      <c r="J78" s="998"/>
      <c r="K78" s="998"/>
      <c r="L78" s="998"/>
      <c r="M78" s="999"/>
      <c r="O78" s="380"/>
      <c r="P78" s="344"/>
      <c r="Q78" s="344"/>
      <c r="R78" s="344"/>
      <c r="AA78" s="354" t="s">
        <v>416</v>
      </c>
      <c r="AB78" s="354"/>
      <c r="AC78" s="354" t="s">
        <v>514</v>
      </c>
      <c r="AD78" s="352"/>
      <c r="AE78" s="380"/>
      <c r="AF78" s="380" t="str">
        <f t="shared" si="1"/>
        <v>Eingriffstiefe angeben</v>
      </c>
      <c r="AG78" s="380"/>
      <c r="AH78" s="380"/>
      <c r="AI78" s="380"/>
      <c r="AJ78" s="380"/>
      <c r="AK78" s="380"/>
      <c r="AL78" s="380"/>
      <c r="AM78" s="380"/>
      <c r="AN78" s="380"/>
      <c r="AO78" s="380"/>
      <c r="AP78" s="380"/>
      <c r="AQ78" s="380"/>
      <c r="AR78" s="380"/>
    </row>
    <row r="79" spans="2:44" ht="49.5" customHeight="1" outlineLevel="1" x14ac:dyDescent="0.2">
      <c r="B79" s="1025"/>
      <c r="C79" s="1018" t="s">
        <v>622</v>
      </c>
      <c r="D79" s="1019"/>
      <c r="E79" s="1020"/>
      <c r="F79" s="528" t="s">
        <v>99</v>
      </c>
      <c r="G79" s="1014"/>
      <c r="H79" s="1010"/>
      <c r="I79" s="1010"/>
      <c r="J79" s="1010"/>
      <c r="K79" s="1010"/>
      <c r="L79" s="1010"/>
      <c r="M79" s="1011"/>
      <c r="O79" s="380"/>
      <c r="P79" s="344"/>
      <c r="Q79" s="344"/>
      <c r="R79" s="344"/>
      <c r="AA79" s="506" t="s">
        <v>104</v>
      </c>
      <c r="AB79" s="355"/>
      <c r="AC79" s="506" t="s">
        <v>104</v>
      </c>
      <c r="AD79" s="500"/>
      <c r="AE79" s="380"/>
      <c r="AF79" s="501" t="str">
        <f t="shared" si="1"/>
        <v>Eingriffstiefe angeben</v>
      </c>
      <c r="AG79" s="380"/>
      <c r="AH79" s="380"/>
      <c r="AI79" s="380"/>
      <c r="AJ79" s="380"/>
      <c r="AK79" s="380"/>
      <c r="AL79" s="380"/>
      <c r="AM79" s="380"/>
      <c r="AN79" s="380"/>
      <c r="AO79" s="380"/>
      <c r="AP79" s="380"/>
      <c r="AQ79" s="380"/>
      <c r="AR79" s="380"/>
    </row>
    <row r="80" spans="2:44" ht="49.5" customHeight="1" outlineLevel="1" x14ac:dyDescent="0.2">
      <c r="B80" s="1026"/>
      <c r="C80" s="1018" t="s">
        <v>572</v>
      </c>
      <c r="D80" s="1019"/>
      <c r="E80" s="1020"/>
      <c r="F80" s="528" t="s">
        <v>99</v>
      </c>
      <c r="G80" s="1009"/>
      <c r="H80" s="1010"/>
      <c r="I80" s="1010"/>
      <c r="J80" s="1010"/>
      <c r="K80" s="1010"/>
      <c r="L80" s="1010"/>
      <c r="M80" s="1011"/>
      <c r="O80" s="380"/>
      <c r="P80" s="344"/>
      <c r="Q80" s="344"/>
      <c r="R80" s="344"/>
      <c r="AA80" s="505"/>
      <c r="AB80" s="505"/>
      <c r="AC80" s="505"/>
      <c r="AD80" s="507"/>
      <c r="AE80" s="380"/>
      <c r="AF80" s="380"/>
      <c r="AG80" s="380"/>
      <c r="AH80" s="380"/>
      <c r="AI80" s="380"/>
      <c r="AJ80" s="380"/>
      <c r="AK80" s="380"/>
      <c r="AL80" s="380"/>
      <c r="AM80" s="380"/>
      <c r="AN80" s="380"/>
      <c r="AO80" s="380"/>
      <c r="AP80" s="380"/>
      <c r="AQ80" s="380"/>
      <c r="AR80" s="380"/>
    </row>
    <row r="81" spans="2:44" ht="12" customHeight="1" x14ac:dyDescent="0.2">
      <c r="G81" s="9"/>
      <c r="H81" s="9"/>
      <c r="I81" s="9"/>
      <c r="J81" s="9"/>
      <c r="K81" s="9"/>
      <c r="O81" s="380"/>
      <c r="P81" s="344"/>
      <c r="Q81" s="344"/>
      <c r="R81" s="344"/>
      <c r="AA81" s="354" t="s">
        <v>533</v>
      </c>
      <c r="AB81" s="354"/>
      <c r="AC81" s="354" t="s">
        <v>419</v>
      </c>
      <c r="AD81" s="352"/>
      <c r="AE81" s="380"/>
      <c r="AF81" s="380" t="str">
        <f t="shared" si="1"/>
        <v>Eingriffstiefe angeben</v>
      </c>
      <c r="AG81" s="380"/>
      <c r="AH81" s="380"/>
      <c r="AI81" s="380"/>
      <c r="AJ81" s="380"/>
      <c r="AK81" s="380"/>
      <c r="AL81" s="380"/>
      <c r="AM81" s="380"/>
      <c r="AN81" s="380"/>
      <c r="AO81" s="380"/>
      <c r="AP81" s="380"/>
      <c r="AQ81" s="380"/>
      <c r="AR81" s="380"/>
    </row>
    <row r="82" spans="2:44" ht="24" customHeight="1" outlineLevel="1" x14ac:dyDescent="0.2">
      <c r="B82" s="1021"/>
      <c r="C82" s="305" t="s">
        <v>700</v>
      </c>
      <c r="D82" s="183"/>
      <c r="E82" s="183"/>
      <c r="F82" s="183"/>
      <c r="G82" s="1000"/>
      <c r="H82" s="1001"/>
      <c r="I82" s="1001"/>
      <c r="J82" s="1001"/>
      <c r="K82" s="1001"/>
      <c r="L82" s="1001"/>
      <c r="M82" s="1002"/>
      <c r="O82" s="380"/>
      <c r="P82" s="344"/>
      <c r="Q82" s="344"/>
      <c r="R82" s="344"/>
      <c r="AA82" s="354" t="s">
        <v>535</v>
      </c>
      <c r="AB82" s="354"/>
      <c r="AC82" s="354" t="s">
        <v>538</v>
      </c>
      <c r="AD82" s="352"/>
      <c r="AE82" s="380"/>
      <c r="AF82" s="380" t="str">
        <f t="shared" si="1"/>
        <v>Eingriffstiefe angeben</v>
      </c>
      <c r="AG82" s="380"/>
      <c r="AH82" s="380"/>
      <c r="AI82" s="380"/>
      <c r="AJ82" s="380"/>
      <c r="AK82" s="380"/>
      <c r="AL82" s="380"/>
      <c r="AM82" s="380"/>
      <c r="AN82" s="380"/>
      <c r="AO82" s="380"/>
      <c r="AP82" s="380"/>
      <c r="AQ82" s="380"/>
      <c r="AR82" s="380"/>
    </row>
    <row r="83" spans="2:44" ht="13.5" customHeight="1" outlineLevel="1" x14ac:dyDescent="0.2">
      <c r="B83" s="1022"/>
      <c r="C83" s="102" t="s">
        <v>100</v>
      </c>
      <c r="D83" s="119"/>
      <c r="E83" s="89"/>
      <c r="F83" s="17" t="s">
        <v>99</v>
      </c>
      <c r="G83" s="1003"/>
      <c r="H83" s="1004"/>
      <c r="I83" s="1004"/>
      <c r="J83" s="1004"/>
      <c r="K83" s="1004"/>
      <c r="L83" s="1004"/>
      <c r="M83" s="1005"/>
      <c r="O83" s="380"/>
      <c r="P83" s="344"/>
      <c r="Q83" s="344"/>
      <c r="R83" s="344"/>
      <c r="AA83" s="354" t="s">
        <v>534</v>
      </c>
      <c r="AB83" s="354"/>
      <c r="AC83" s="354" t="s">
        <v>537</v>
      </c>
      <c r="AD83" s="352"/>
      <c r="AE83" s="380"/>
      <c r="AF83" s="380" t="str">
        <f t="shared" si="1"/>
        <v>Eingriffstiefe angeben</v>
      </c>
      <c r="AG83" s="380"/>
      <c r="AH83" s="380"/>
      <c r="AI83" s="380"/>
      <c r="AJ83" s="380"/>
      <c r="AK83" s="380"/>
      <c r="AL83" s="380"/>
      <c r="AM83" s="380"/>
      <c r="AN83" s="380"/>
      <c r="AO83" s="380"/>
      <c r="AP83" s="380"/>
      <c r="AQ83" s="380"/>
      <c r="AR83" s="380"/>
    </row>
    <row r="84" spans="2:44" ht="13.5" customHeight="1" outlineLevel="1" x14ac:dyDescent="0.2">
      <c r="B84" s="1022"/>
      <c r="C84" s="36" t="s">
        <v>101</v>
      </c>
      <c r="D84" s="95"/>
      <c r="E84" s="38"/>
      <c r="F84" s="4" t="s">
        <v>99</v>
      </c>
      <c r="G84" s="994"/>
      <c r="H84" s="995"/>
      <c r="I84" s="995"/>
      <c r="J84" s="995"/>
      <c r="K84" s="995"/>
      <c r="L84" s="995"/>
      <c r="M84" s="996"/>
      <c r="O84" s="380"/>
      <c r="P84" s="344"/>
      <c r="Q84" s="344"/>
      <c r="R84" s="344"/>
      <c r="AA84" s="354" t="s">
        <v>536</v>
      </c>
      <c r="AB84" s="355"/>
      <c r="AC84" s="354" t="s">
        <v>539</v>
      </c>
      <c r="AD84" s="352"/>
      <c r="AE84" s="380"/>
      <c r="AF84" s="380" t="str">
        <f t="shared" si="1"/>
        <v>Eingriffstiefe angeben</v>
      </c>
      <c r="AG84" s="380"/>
      <c r="AH84" s="380"/>
      <c r="AI84" s="380"/>
      <c r="AJ84" s="380"/>
      <c r="AK84" s="380"/>
      <c r="AL84" s="380"/>
      <c r="AM84" s="380"/>
      <c r="AN84" s="380"/>
      <c r="AO84" s="380"/>
      <c r="AP84" s="380"/>
      <c r="AQ84" s="380"/>
      <c r="AR84" s="380"/>
    </row>
    <row r="85" spans="2:44" ht="13.5" customHeight="1" outlineLevel="1" x14ac:dyDescent="0.2">
      <c r="B85" s="1022"/>
      <c r="C85" s="36" t="s">
        <v>102</v>
      </c>
      <c r="D85" s="95"/>
      <c r="E85" s="38"/>
      <c r="F85" s="4" t="s">
        <v>99</v>
      </c>
      <c r="G85" s="994"/>
      <c r="H85" s="995"/>
      <c r="I85" s="995"/>
      <c r="J85" s="995"/>
      <c r="K85" s="995"/>
      <c r="L85" s="995"/>
      <c r="M85" s="996"/>
      <c r="O85" s="380"/>
      <c r="P85" s="344"/>
      <c r="Q85" s="344"/>
      <c r="R85" s="344"/>
      <c r="AA85" s="354" t="s">
        <v>416</v>
      </c>
      <c r="AB85" s="355"/>
      <c r="AC85" s="354" t="s">
        <v>540</v>
      </c>
      <c r="AD85" s="352"/>
      <c r="AE85" s="380"/>
      <c r="AF85" s="380" t="str">
        <f t="shared" si="1"/>
        <v>Eingriffstiefe angeben</v>
      </c>
      <c r="AG85" s="380"/>
      <c r="AH85" s="380"/>
      <c r="AI85" s="380"/>
      <c r="AJ85" s="380"/>
      <c r="AK85" s="380"/>
      <c r="AL85" s="380"/>
      <c r="AM85" s="380"/>
      <c r="AN85" s="380"/>
      <c r="AO85" s="380"/>
      <c r="AP85" s="380"/>
      <c r="AQ85" s="380"/>
      <c r="AR85" s="380"/>
    </row>
    <row r="86" spans="2:44" ht="13.5" customHeight="1" outlineLevel="1" x14ac:dyDescent="0.2">
      <c r="B86" s="1022"/>
      <c r="C86" s="36" t="s">
        <v>103</v>
      </c>
      <c r="D86" s="95"/>
      <c r="E86" s="38"/>
      <c r="F86" s="4" t="s">
        <v>99</v>
      </c>
      <c r="G86" s="994"/>
      <c r="H86" s="995"/>
      <c r="I86" s="995"/>
      <c r="J86" s="995"/>
      <c r="K86" s="995"/>
      <c r="L86" s="995"/>
      <c r="M86" s="996"/>
      <c r="O86" s="344"/>
      <c r="P86" s="344"/>
      <c r="Q86" s="344"/>
      <c r="R86" s="344"/>
      <c r="AA86" s="506" t="s">
        <v>105</v>
      </c>
      <c r="AB86" s="355"/>
      <c r="AC86" s="506" t="s">
        <v>105</v>
      </c>
      <c r="AD86" s="352"/>
      <c r="AE86" s="380"/>
      <c r="AF86" s="501" t="str">
        <f t="shared" si="1"/>
        <v>Eingriffstiefe angeben</v>
      </c>
      <c r="AG86" s="380"/>
      <c r="AH86" s="380"/>
      <c r="AI86" s="380"/>
      <c r="AJ86" s="380"/>
      <c r="AK86" s="380"/>
      <c r="AL86" s="380"/>
      <c r="AM86" s="380"/>
      <c r="AN86" s="380"/>
      <c r="AO86" s="380"/>
      <c r="AP86" s="380"/>
      <c r="AQ86" s="380"/>
      <c r="AR86" s="380"/>
    </row>
    <row r="87" spans="2:44" ht="13.5" customHeight="1" outlineLevel="1" x14ac:dyDescent="0.2">
      <c r="B87" s="1022"/>
      <c r="C87" s="36" t="s">
        <v>370</v>
      </c>
      <c r="D87" s="95"/>
      <c r="E87" s="38"/>
      <c r="F87" s="4" t="s">
        <v>99</v>
      </c>
      <c r="G87" s="994"/>
      <c r="H87" s="1012"/>
      <c r="I87" s="1012"/>
      <c r="J87" s="1012"/>
      <c r="K87" s="1012"/>
      <c r="L87" s="1012"/>
      <c r="M87" s="1013"/>
      <c r="O87" s="344"/>
      <c r="P87" s="344"/>
      <c r="Q87" s="344"/>
      <c r="R87" s="344"/>
      <c r="AA87" s="505"/>
      <c r="AB87" s="505"/>
      <c r="AC87" s="505"/>
      <c r="AD87" s="352"/>
      <c r="AE87" s="380"/>
      <c r="AF87" s="380"/>
      <c r="AG87" s="380"/>
      <c r="AH87" s="380"/>
      <c r="AI87" s="380"/>
      <c r="AJ87" s="380"/>
      <c r="AK87" s="380"/>
      <c r="AL87" s="380"/>
      <c r="AM87" s="380"/>
      <c r="AN87" s="380"/>
      <c r="AO87" s="380"/>
      <c r="AP87" s="380"/>
      <c r="AQ87" s="380"/>
      <c r="AR87" s="380"/>
    </row>
    <row r="88" spans="2:44" ht="13.5" customHeight="1" outlineLevel="1" x14ac:dyDescent="0.2">
      <c r="B88" s="1022"/>
      <c r="C88" s="36" t="s">
        <v>569</v>
      </c>
      <c r="D88" s="95"/>
      <c r="E88" s="38"/>
      <c r="F88" s="4" t="s">
        <v>99</v>
      </c>
      <c r="G88" s="994"/>
      <c r="H88" s="995"/>
      <c r="I88" s="995"/>
      <c r="J88" s="995"/>
      <c r="K88" s="995"/>
      <c r="L88" s="995"/>
      <c r="M88" s="996"/>
      <c r="O88" s="344"/>
      <c r="P88" s="344"/>
      <c r="Q88" s="344"/>
      <c r="R88" s="344"/>
      <c r="AA88" s="354" t="s">
        <v>457</v>
      </c>
      <c r="AB88" s="354"/>
      <c r="AC88" s="354" t="s">
        <v>421</v>
      </c>
      <c r="AD88" s="500"/>
      <c r="AE88" s="380"/>
      <c r="AF88" s="380" t="str">
        <f t="shared" si="1"/>
        <v>Eingriffstiefe angeben</v>
      </c>
      <c r="AG88" s="380"/>
      <c r="AH88" s="380"/>
      <c r="AI88" s="380"/>
      <c r="AJ88" s="380"/>
      <c r="AK88" s="380"/>
      <c r="AL88" s="380"/>
      <c r="AM88" s="380"/>
      <c r="AN88" s="380"/>
      <c r="AO88" s="380"/>
      <c r="AP88" s="380"/>
      <c r="AQ88" s="380"/>
      <c r="AR88" s="380"/>
    </row>
    <row r="89" spans="2:44" ht="13.5" customHeight="1" outlineLevel="1" x14ac:dyDescent="0.2">
      <c r="B89" s="1022"/>
      <c r="C89" s="36" t="s">
        <v>412</v>
      </c>
      <c r="D89" s="95"/>
      <c r="E89" s="38"/>
      <c r="F89" s="4" t="s">
        <v>99</v>
      </c>
      <c r="G89" s="994"/>
      <c r="H89" s="995"/>
      <c r="I89" s="995"/>
      <c r="J89" s="995"/>
      <c r="K89" s="995"/>
      <c r="L89" s="995"/>
      <c r="M89" s="996"/>
      <c r="O89" s="344"/>
      <c r="P89" s="344"/>
      <c r="Q89" s="344"/>
      <c r="R89" s="344"/>
      <c r="AA89" s="354" t="s">
        <v>458</v>
      </c>
      <c r="AB89" s="354"/>
      <c r="AC89" s="354" t="s">
        <v>485</v>
      </c>
      <c r="AD89" s="507"/>
      <c r="AE89" s="380"/>
      <c r="AF89" s="380" t="str">
        <f t="shared" si="1"/>
        <v>Eingriffstiefe angeben</v>
      </c>
      <c r="AG89" s="380"/>
      <c r="AH89" s="380"/>
      <c r="AI89" s="380"/>
      <c r="AJ89" s="380"/>
      <c r="AK89" s="380"/>
      <c r="AL89" s="380"/>
      <c r="AM89" s="380"/>
      <c r="AN89" s="380"/>
      <c r="AO89" s="380"/>
      <c r="AP89" s="380"/>
      <c r="AQ89" s="380"/>
      <c r="AR89" s="380"/>
    </row>
    <row r="90" spans="2:44" ht="13.5" customHeight="1" outlineLevel="1" x14ac:dyDescent="0.2">
      <c r="B90" s="1022"/>
      <c r="C90" s="36" t="s">
        <v>188</v>
      </c>
      <c r="D90" s="95"/>
      <c r="E90" s="38"/>
      <c r="F90" s="4" t="s">
        <v>99</v>
      </c>
      <c r="G90" s="994"/>
      <c r="H90" s="995"/>
      <c r="I90" s="995"/>
      <c r="J90" s="995"/>
      <c r="K90" s="995"/>
      <c r="L90" s="995"/>
      <c r="M90" s="996"/>
      <c r="O90" s="344"/>
      <c r="P90" s="344"/>
      <c r="Q90" s="344"/>
      <c r="R90" s="344"/>
      <c r="AA90" s="354" t="s">
        <v>459</v>
      </c>
      <c r="AB90" s="355"/>
      <c r="AC90" s="354" t="s">
        <v>486</v>
      </c>
      <c r="AD90" s="352"/>
      <c r="AE90" s="380"/>
      <c r="AF90" s="380" t="str">
        <f t="shared" si="1"/>
        <v>Eingriffstiefe angeben</v>
      </c>
      <c r="AG90" s="380"/>
      <c r="AH90" s="380"/>
      <c r="AI90" s="380"/>
      <c r="AJ90" s="380"/>
      <c r="AK90" s="380"/>
      <c r="AL90" s="380"/>
      <c r="AM90" s="380"/>
      <c r="AN90" s="380"/>
      <c r="AO90" s="380"/>
      <c r="AP90" s="380"/>
      <c r="AQ90" s="380"/>
      <c r="AR90" s="380"/>
    </row>
    <row r="91" spans="2:44" ht="13.5" customHeight="1" outlineLevel="1" x14ac:dyDescent="0.2">
      <c r="B91" s="1022"/>
      <c r="C91" s="36" t="s">
        <v>410</v>
      </c>
      <c r="D91" s="95"/>
      <c r="E91" s="38"/>
      <c r="F91" s="4" t="s">
        <v>99</v>
      </c>
      <c r="G91" s="994"/>
      <c r="H91" s="995"/>
      <c r="I91" s="995"/>
      <c r="J91" s="995"/>
      <c r="K91" s="995"/>
      <c r="L91" s="995"/>
      <c r="M91" s="996"/>
      <c r="O91" s="344"/>
      <c r="P91" s="344"/>
      <c r="Q91" s="344"/>
      <c r="R91" s="344"/>
      <c r="AA91" s="354" t="s">
        <v>489</v>
      </c>
      <c r="AB91" s="355"/>
      <c r="AC91" s="354" t="s">
        <v>487</v>
      </c>
      <c r="AD91" s="352"/>
      <c r="AE91" s="380"/>
      <c r="AF91" s="380" t="str">
        <f t="shared" si="1"/>
        <v>Eingriffstiefe angeben</v>
      </c>
      <c r="AG91" s="380"/>
      <c r="AH91" s="380"/>
      <c r="AI91" s="380"/>
      <c r="AJ91" s="380"/>
      <c r="AK91" s="380"/>
      <c r="AL91" s="380"/>
      <c r="AM91" s="380"/>
      <c r="AN91" s="380"/>
      <c r="AO91" s="380"/>
      <c r="AP91" s="380"/>
      <c r="AQ91" s="380"/>
      <c r="AR91" s="380"/>
    </row>
    <row r="92" spans="2:44" ht="13.5" customHeight="1" outlineLevel="1" x14ac:dyDescent="0.2">
      <c r="B92" s="1022"/>
      <c r="C92" s="36" t="s">
        <v>189</v>
      </c>
      <c r="D92" s="95"/>
      <c r="E92" s="38"/>
      <c r="F92" s="4" t="s">
        <v>99</v>
      </c>
      <c r="G92" s="994"/>
      <c r="H92" s="995"/>
      <c r="I92" s="995"/>
      <c r="J92" s="995"/>
      <c r="K92" s="995"/>
      <c r="L92" s="995"/>
      <c r="M92" s="996"/>
      <c r="O92" s="344"/>
      <c r="P92" s="344"/>
      <c r="Q92" s="344"/>
      <c r="R92" s="344"/>
      <c r="AA92" s="354" t="s">
        <v>490</v>
      </c>
      <c r="AB92" s="355"/>
      <c r="AC92" s="354" t="s">
        <v>488</v>
      </c>
      <c r="AD92" s="352"/>
      <c r="AE92" s="380"/>
      <c r="AF92" s="380" t="str">
        <f t="shared" si="1"/>
        <v>Eingriffstiefe angeben</v>
      </c>
      <c r="AG92" s="380"/>
      <c r="AH92" s="380"/>
      <c r="AI92" s="380"/>
      <c r="AJ92" s="380"/>
      <c r="AK92" s="380"/>
      <c r="AL92" s="380"/>
      <c r="AM92" s="380"/>
      <c r="AN92" s="380"/>
      <c r="AO92" s="380"/>
      <c r="AP92" s="380"/>
      <c r="AQ92" s="380"/>
      <c r="AR92" s="380"/>
    </row>
    <row r="93" spans="2:44" ht="13.5" customHeight="1" outlineLevel="1" x14ac:dyDescent="0.2">
      <c r="B93" s="1022"/>
      <c r="C93" s="36" t="s">
        <v>104</v>
      </c>
      <c r="D93" s="95"/>
      <c r="E93" s="38"/>
      <c r="F93" s="4" t="s">
        <v>99</v>
      </c>
      <c r="G93" s="994"/>
      <c r="H93" s="995"/>
      <c r="I93" s="995"/>
      <c r="J93" s="995"/>
      <c r="K93" s="995"/>
      <c r="L93" s="995"/>
      <c r="M93" s="996"/>
      <c r="O93" s="344"/>
      <c r="P93" s="344"/>
      <c r="Q93" s="344"/>
      <c r="R93" s="344"/>
      <c r="AA93" s="506" t="s">
        <v>106</v>
      </c>
      <c r="AB93" s="355"/>
      <c r="AC93" s="506" t="s">
        <v>106</v>
      </c>
      <c r="AD93" s="500"/>
      <c r="AE93" s="380"/>
      <c r="AF93" s="501" t="str">
        <f t="shared" si="1"/>
        <v>Eingriffstiefe angeben</v>
      </c>
      <c r="AG93" s="503"/>
      <c r="AH93" s="503"/>
      <c r="AI93" s="380"/>
      <c r="AJ93" s="380"/>
      <c r="AK93" s="380"/>
      <c r="AL93" s="380"/>
      <c r="AM93" s="380"/>
      <c r="AN93" s="380"/>
      <c r="AO93" s="380"/>
      <c r="AP93" s="380"/>
      <c r="AQ93" s="380"/>
      <c r="AR93" s="380"/>
    </row>
    <row r="94" spans="2:44" ht="13.5" customHeight="1" outlineLevel="1" x14ac:dyDescent="0.2">
      <c r="B94" s="1022"/>
      <c r="C94" s="36" t="s">
        <v>105</v>
      </c>
      <c r="D94" s="95"/>
      <c r="E94" s="38"/>
      <c r="F94" s="4" t="s">
        <v>99</v>
      </c>
      <c r="G94" s="994"/>
      <c r="H94" s="995"/>
      <c r="I94" s="995"/>
      <c r="J94" s="995"/>
      <c r="K94" s="995"/>
      <c r="L94" s="995"/>
      <c r="M94" s="996"/>
      <c r="O94" s="344"/>
      <c r="P94" s="344"/>
      <c r="Q94" s="344"/>
      <c r="R94" s="344"/>
      <c r="AA94" s="505"/>
      <c r="AB94" s="505"/>
      <c r="AC94" s="505"/>
      <c r="AD94" s="507"/>
      <c r="AE94" s="380"/>
      <c r="AF94" s="380"/>
      <c r="AG94" s="503"/>
      <c r="AH94" s="503"/>
      <c r="AI94" s="380"/>
      <c r="AJ94" s="380"/>
      <c r="AK94" s="380"/>
      <c r="AL94" s="380"/>
      <c r="AM94" s="380"/>
      <c r="AN94" s="380"/>
      <c r="AO94" s="380"/>
      <c r="AP94" s="380"/>
      <c r="AQ94" s="380"/>
      <c r="AR94" s="380"/>
    </row>
    <row r="95" spans="2:44" ht="13.5" customHeight="1" outlineLevel="1" x14ac:dyDescent="0.2">
      <c r="B95" s="1022"/>
      <c r="C95" s="36" t="s">
        <v>106</v>
      </c>
      <c r="D95" s="95"/>
      <c r="E95" s="38"/>
      <c r="F95" s="4" t="s">
        <v>99</v>
      </c>
      <c r="G95" s="994"/>
      <c r="H95" s="995"/>
      <c r="I95" s="995"/>
      <c r="J95" s="995"/>
      <c r="K95" s="995"/>
      <c r="L95" s="995"/>
      <c r="M95" s="996"/>
      <c r="O95" s="344"/>
      <c r="P95" s="344"/>
      <c r="Q95" s="344"/>
      <c r="R95" s="344"/>
      <c r="AA95" s="354" t="s">
        <v>491</v>
      </c>
      <c r="AB95" s="354"/>
      <c r="AC95" s="354" t="s">
        <v>493</v>
      </c>
      <c r="AD95" s="352"/>
      <c r="AE95" s="380"/>
      <c r="AF95" s="380" t="str">
        <f t="shared" si="1"/>
        <v>Eingriffstiefe angeben</v>
      </c>
      <c r="AG95" s="503"/>
      <c r="AH95" s="503"/>
      <c r="AI95" s="503"/>
      <c r="AJ95" s="380"/>
      <c r="AK95" s="380"/>
      <c r="AL95" s="380"/>
      <c r="AM95" s="380"/>
      <c r="AN95" s="380"/>
      <c r="AO95" s="380"/>
      <c r="AP95" s="380"/>
      <c r="AQ95" s="380"/>
      <c r="AR95" s="380"/>
    </row>
    <row r="96" spans="2:44" ht="13.5" customHeight="1" outlineLevel="1" x14ac:dyDescent="0.2">
      <c r="B96" s="1022"/>
      <c r="C96" s="109" t="s">
        <v>107</v>
      </c>
      <c r="D96" s="110"/>
      <c r="E96" s="91"/>
      <c r="F96" s="18" t="s">
        <v>99</v>
      </c>
      <c r="G96" s="997"/>
      <c r="H96" s="998"/>
      <c r="I96" s="998"/>
      <c r="J96" s="998"/>
      <c r="K96" s="998"/>
      <c r="L96" s="998"/>
      <c r="M96" s="999"/>
      <c r="O96" s="344"/>
      <c r="P96" s="344"/>
      <c r="Q96" s="344"/>
      <c r="R96" s="344"/>
      <c r="AA96" s="354" t="s">
        <v>458</v>
      </c>
      <c r="AB96" s="354"/>
      <c r="AC96" s="354" t="s">
        <v>494</v>
      </c>
      <c r="AD96" s="352"/>
      <c r="AE96" s="380"/>
      <c r="AF96" s="380" t="str">
        <f t="shared" si="1"/>
        <v>Eingriffstiefe angeben</v>
      </c>
      <c r="AG96" s="503"/>
      <c r="AH96" s="503"/>
      <c r="AI96" s="503"/>
      <c r="AJ96" s="380"/>
      <c r="AK96" s="380"/>
      <c r="AL96" s="380"/>
      <c r="AM96" s="380"/>
      <c r="AN96" s="380"/>
      <c r="AO96" s="380"/>
      <c r="AP96" s="380"/>
      <c r="AQ96" s="380"/>
      <c r="AR96" s="380"/>
    </row>
    <row r="97" spans="2:44" ht="48.75" customHeight="1" outlineLevel="1" x14ac:dyDescent="0.2">
      <c r="B97" s="1022"/>
      <c r="C97" s="1018" t="s">
        <v>622</v>
      </c>
      <c r="D97" s="1019"/>
      <c r="E97" s="1020"/>
      <c r="F97" s="528" t="s">
        <v>99</v>
      </c>
      <c r="G97" s="1014"/>
      <c r="H97" s="1010"/>
      <c r="I97" s="1010"/>
      <c r="J97" s="1010"/>
      <c r="K97" s="1010"/>
      <c r="L97" s="1010"/>
      <c r="M97" s="1011"/>
      <c r="O97" s="344"/>
      <c r="P97" s="344"/>
      <c r="Q97" s="344"/>
      <c r="R97" s="344"/>
      <c r="AA97" s="354" t="s">
        <v>492</v>
      </c>
      <c r="AB97" s="354"/>
      <c r="AC97" s="354" t="s">
        <v>495</v>
      </c>
      <c r="AD97" s="352"/>
      <c r="AE97" s="380"/>
      <c r="AF97" s="380" t="str">
        <f t="shared" si="1"/>
        <v>Eingriffstiefe angeben</v>
      </c>
      <c r="AG97" s="503"/>
      <c r="AH97" s="503"/>
      <c r="AI97" s="503"/>
      <c r="AJ97" s="380"/>
      <c r="AK97" s="380"/>
      <c r="AL97" s="380"/>
      <c r="AM97" s="380"/>
      <c r="AN97" s="380"/>
      <c r="AO97" s="380"/>
      <c r="AP97" s="380"/>
      <c r="AQ97" s="380"/>
      <c r="AR97" s="380"/>
    </row>
    <row r="98" spans="2:44" ht="48.75" customHeight="1" outlineLevel="1" x14ac:dyDescent="0.2">
      <c r="B98" s="1023"/>
      <c r="C98" s="1018" t="s">
        <v>572</v>
      </c>
      <c r="D98" s="1019"/>
      <c r="E98" s="1020"/>
      <c r="F98" s="528" t="s">
        <v>99</v>
      </c>
      <c r="G98" s="1009"/>
      <c r="H98" s="1010"/>
      <c r="I98" s="1010"/>
      <c r="J98" s="1010"/>
      <c r="K98" s="1010"/>
      <c r="L98" s="1010"/>
      <c r="M98" s="1011"/>
      <c r="O98" s="344"/>
      <c r="P98" s="344"/>
      <c r="Q98" s="344"/>
      <c r="R98" s="344"/>
      <c r="AA98" s="354" t="s">
        <v>460</v>
      </c>
      <c r="AB98" s="354"/>
      <c r="AC98" s="354" t="s">
        <v>496</v>
      </c>
      <c r="AD98" s="352"/>
      <c r="AE98" s="380"/>
      <c r="AF98" s="380" t="str">
        <f t="shared" si="1"/>
        <v>Eingriffstiefe angeben</v>
      </c>
      <c r="AG98" s="503"/>
      <c r="AH98" s="503"/>
      <c r="AI98" s="503"/>
      <c r="AJ98" s="380"/>
      <c r="AK98" s="380"/>
      <c r="AL98" s="380"/>
      <c r="AM98" s="380"/>
      <c r="AN98" s="380"/>
      <c r="AO98" s="380"/>
      <c r="AP98" s="380"/>
      <c r="AQ98" s="380"/>
      <c r="AR98" s="380"/>
    </row>
    <row r="99" spans="2:44" ht="12" customHeight="1" x14ac:dyDescent="0.2">
      <c r="G99" s="9"/>
      <c r="H99" s="9"/>
      <c r="I99" s="9"/>
      <c r="J99" s="9"/>
      <c r="K99" s="9"/>
      <c r="O99" s="344"/>
      <c r="P99" s="344"/>
      <c r="Q99" s="344"/>
      <c r="R99" s="344"/>
      <c r="AA99" s="355" t="s">
        <v>416</v>
      </c>
      <c r="AB99" s="354"/>
      <c r="AC99" s="354" t="s">
        <v>497</v>
      </c>
      <c r="AD99" s="352"/>
      <c r="AE99" s="380"/>
      <c r="AF99" s="380" t="str">
        <f t="shared" si="1"/>
        <v>Eingriffstiefe angeben</v>
      </c>
      <c r="AG99" s="503"/>
      <c r="AH99" s="503"/>
      <c r="AI99" s="503"/>
      <c r="AJ99" s="380"/>
      <c r="AK99" s="380"/>
      <c r="AL99" s="380"/>
      <c r="AM99" s="380"/>
      <c r="AN99" s="380"/>
      <c r="AO99" s="380"/>
      <c r="AP99" s="380"/>
      <c r="AQ99" s="380"/>
      <c r="AR99" s="380"/>
    </row>
    <row r="100" spans="2:44" ht="24" customHeight="1" outlineLevel="1" x14ac:dyDescent="0.2">
      <c r="B100" s="1024"/>
      <c r="C100" s="305" t="s">
        <v>700</v>
      </c>
      <c r="D100" s="183"/>
      <c r="E100" s="183"/>
      <c r="F100" s="183"/>
      <c r="G100" s="1000"/>
      <c r="H100" s="1001"/>
      <c r="I100" s="1001"/>
      <c r="J100" s="1001"/>
      <c r="K100" s="1001"/>
      <c r="L100" s="1001"/>
      <c r="M100" s="1002"/>
      <c r="O100" s="344"/>
      <c r="P100" s="344"/>
      <c r="Q100" s="344"/>
      <c r="R100" s="344"/>
      <c r="AA100" s="355"/>
      <c r="AB100" s="354"/>
      <c r="AC100" s="355"/>
      <c r="AD100" s="500"/>
      <c r="AE100" s="380"/>
      <c r="AF100" s="380"/>
      <c r="AG100" s="503"/>
      <c r="AH100" s="503"/>
      <c r="AI100" s="503"/>
      <c r="AJ100" s="380"/>
      <c r="AK100" s="380"/>
      <c r="AL100" s="380"/>
      <c r="AM100" s="380"/>
      <c r="AN100" s="380"/>
      <c r="AO100" s="380"/>
      <c r="AP100" s="380"/>
      <c r="AQ100" s="380"/>
      <c r="AR100" s="380"/>
    </row>
    <row r="101" spans="2:44" ht="13.5" customHeight="1" outlineLevel="1" x14ac:dyDescent="0.2">
      <c r="B101" s="1025"/>
      <c r="C101" s="102" t="s">
        <v>100</v>
      </c>
      <c r="D101" s="119"/>
      <c r="E101" s="89"/>
      <c r="F101" s="17" t="s">
        <v>99</v>
      </c>
      <c r="G101" s="1003"/>
      <c r="H101" s="1004"/>
      <c r="I101" s="1004"/>
      <c r="J101" s="1004"/>
      <c r="K101" s="1004"/>
      <c r="L101" s="1004"/>
      <c r="M101" s="1005"/>
      <c r="O101" s="344"/>
      <c r="P101" s="344"/>
      <c r="Q101" s="344"/>
      <c r="R101" s="344"/>
      <c r="AA101" s="506" t="s">
        <v>107</v>
      </c>
      <c r="AB101" s="493"/>
      <c r="AC101" s="506" t="s">
        <v>107</v>
      </c>
      <c r="AD101" s="494"/>
      <c r="AE101" s="380"/>
      <c r="AF101" s="501" t="str">
        <f t="shared" si="1"/>
        <v>Eingriffstiefe angeben</v>
      </c>
      <c r="AG101" s="503"/>
      <c r="AH101" s="503"/>
      <c r="AI101" s="503"/>
      <c r="AJ101" s="503"/>
      <c r="AK101" s="380"/>
      <c r="AL101" s="380"/>
      <c r="AM101" s="380"/>
      <c r="AN101" s="380"/>
      <c r="AO101" s="380"/>
      <c r="AP101" s="380"/>
      <c r="AQ101" s="380"/>
      <c r="AR101" s="380"/>
    </row>
    <row r="102" spans="2:44" ht="13.5" customHeight="1" outlineLevel="1" x14ac:dyDescent="0.2">
      <c r="B102" s="1025"/>
      <c r="C102" s="36" t="s">
        <v>101</v>
      </c>
      <c r="D102" s="95"/>
      <c r="E102" s="38"/>
      <c r="F102" s="4" t="s">
        <v>99</v>
      </c>
      <c r="G102" s="994"/>
      <c r="H102" s="995"/>
      <c r="I102" s="995"/>
      <c r="J102" s="995"/>
      <c r="K102" s="995"/>
      <c r="L102" s="995"/>
      <c r="M102" s="996"/>
      <c r="O102" s="344"/>
      <c r="P102" s="344"/>
      <c r="Q102" s="344"/>
      <c r="R102" s="344"/>
      <c r="AA102" s="505"/>
      <c r="AB102" s="505"/>
      <c r="AC102" s="505"/>
      <c r="AD102" s="507"/>
      <c r="AE102" s="380"/>
      <c r="AF102" s="380"/>
      <c r="AG102" s="503"/>
      <c r="AH102" s="503"/>
      <c r="AI102" s="503"/>
      <c r="AJ102" s="503"/>
      <c r="AK102" s="380"/>
      <c r="AL102" s="380"/>
      <c r="AM102" s="380"/>
      <c r="AN102" s="380"/>
      <c r="AO102" s="380"/>
      <c r="AP102" s="380"/>
      <c r="AQ102" s="380"/>
      <c r="AR102" s="380"/>
    </row>
    <row r="103" spans="2:44" ht="13.5" customHeight="1" outlineLevel="1" x14ac:dyDescent="0.2">
      <c r="B103" s="1025"/>
      <c r="C103" s="36" t="s">
        <v>102</v>
      </c>
      <c r="D103" s="95"/>
      <c r="E103" s="38"/>
      <c r="F103" s="4" t="s">
        <v>99</v>
      </c>
      <c r="G103" s="994"/>
      <c r="H103" s="995"/>
      <c r="I103" s="995"/>
      <c r="J103" s="995"/>
      <c r="K103" s="995"/>
      <c r="L103" s="995"/>
      <c r="M103" s="996"/>
      <c r="O103" s="344"/>
      <c r="P103" s="344"/>
      <c r="Q103" s="344"/>
      <c r="R103" s="344"/>
      <c r="AA103" s="354" t="s">
        <v>461</v>
      </c>
      <c r="AB103" s="354"/>
      <c r="AC103" s="354" t="s">
        <v>461</v>
      </c>
      <c r="AD103" s="352"/>
      <c r="AE103" s="380"/>
      <c r="AF103" s="380" t="str">
        <f t="shared" si="1"/>
        <v>Eingriffstiefe angeben</v>
      </c>
      <c r="AI103" s="503"/>
      <c r="AJ103" s="503"/>
      <c r="AK103" s="380"/>
      <c r="AL103" s="380"/>
      <c r="AM103" s="380"/>
      <c r="AN103" s="380"/>
      <c r="AO103" s="380"/>
      <c r="AP103" s="380"/>
      <c r="AQ103" s="380"/>
      <c r="AR103" s="380"/>
    </row>
    <row r="104" spans="2:44" ht="13.5" customHeight="1" outlineLevel="1" x14ac:dyDescent="0.2">
      <c r="B104" s="1025"/>
      <c r="C104" s="36" t="s">
        <v>103</v>
      </c>
      <c r="D104" s="95"/>
      <c r="E104" s="38"/>
      <c r="F104" s="4" t="s">
        <v>99</v>
      </c>
      <c r="G104" s="994"/>
      <c r="H104" s="995"/>
      <c r="I104" s="995"/>
      <c r="J104" s="995"/>
      <c r="K104" s="995"/>
      <c r="L104" s="995"/>
      <c r="M104" s="996"/>
      <c r="O104" s="344"/>
      <c r="P104" s="344"/>
      <c r="Q104" s="344"/>
      <c r="R104" s="344"/>
      <c r="AA104" s="354" t="s">
        <v>422</v>
      </c>
      <c r="AB104" s="354"/>
      <c r="AC104" s="354" t="s">
        <v>422</v>
      </c>
      <c r="AD104" s="352"/>
      <c r="AE104" s="380"/>
      <c r="AF104" s="380" t="str">
        <f t="shared" si="1"/>
        <v>Eingriffstiefe angeben</v>
      </c>
      <c r="AI104" s="503"/>
      <c r="AJ104" s="503"/>
      <c r="AK104" s="380"/>
      <c r="AL104" s="380"/>
      <c r="AM104" s="380"/>
      <c r="AN104" s="380"/>
      <c r="AO104" s="380"/>
      <c r="AP104" s="380"/>
      <c r="AQ104" s="380"/>
      <c r="AR104" s="380"/>
    </row>
    <row r="105" spans="2:44" ht="13.5" customHeight="1" outlineLevel="1" x14ac:dyDescent="0.2">
      <c r="B105" s="1025"/>
      <c r="C105" s="36" t="s">
        <v>370</v>
      </c>
      <c r="D105" s="95"/>
      <c r="E105" s="38"/>
      <c r="F105" s="4" t="s">
        <v>99</v>
      </c>
      <c r="G105" s="994"/>
      <c r="H105" s="1012"/>
      <c r="I105" s="1012"/>
      <c r="J105" s="1012"/>
      <c r="K105" s="1012"/>
      <c r="L105" s="1012"/>
      <c r="M105" s="1013"/>
      <c r="O105" s="344"/>
      <c r="P105" s="344"/>
      <c r="Q105" s="344"/>
      <c r="R105" s="344"/>
      <c r="AA105" s="354" t="s">
        <v>423</v>
      </c>
      <c r="AB105" s="354"/>
      <c r="AC105" s="354" t="s">
        <v>423</v>
      </c>
      <c r="AD105" s="352"/>
      <c r="AE105" s="380"/>
      <c r="AF105" s="380" t="str">
        <f t="shared" si="1"/>
        <v>Eingriffstiefe angeben</v>
      </c>
      <c r="AJ105" s="503"/>
      <c r="AK105" s="503"/>
      <c r="AL105" s="380"/>
      <c r="AM105" s="380"/>
      <c r="AN105" s="380"/>
      <c r="AO105" s="380"/>
      <c r="AP105" s="380"/>
      <c r="AQ105" s="380"/>
      <c r="AR105" s="380"/>
    </row>
    <row r="106" spans="2:44" ht="13.5" customHeight="1" outlineLevel="1" x14ac:dyDescent="0.2">
      <c r="B106" s="1025"/>
      <c r="C106" s="36" t="s">
        <v>569</v>
      </c>
      <c r="D106" s="95"/>
      <c r="E106" s="38"/>
      <c r="F106" s="4" t="s">
        <v>99</v>
      </c>
      <c r="G106" s="994"/>
      <c r="H106" s="995"/>
      <c r="I106" s="995"/>
      <c r="J106" s="995"/>
      <c r="K106" s="995"/>
      <c r="L106" s="995"/>
      <c r="M106" s="996"/>
      <c r="O106" s="344"/>
      <c r="P106" s="344"/>
      <c r="Q106" s="344"/>
      <c r="R106" s="344"/>
      <c r="AA106" s="354" t="s">
        <v>424</v>
      </c>
      <c r="AB106" s="354"/>
      <c r="AC106" s="354" t="s">
        <v>424</v>
      </c>
      <c r="AD106" s="352"/>
      <c r="AE106" s="380"/>
      <c r="AF106" s="380" t="str">
        <f t="shared" si="1"/>
        <v>Eingriffstiefe angeben</v>
      </c>
      <c r="AJ106" s="503"/>
      <c r="AK106" s="503"/>
      <c r="AL106" s="380"/>
      <c r="AM106" s="380"/>
      <c r="AN106" s="380"/>
      <c r="AO106" s="380"/>
      <c r="AP106" s="380"/>
      <c r="AQ106" s="380"/>
      <c r="AR106" s="380"/>
    </row>
    <row r="107" spans="2:44" ht="13.5" customHeight="1" outlineLevel="1" x14ac:dyDescent="0.2">
      <c r="B107" s="1025"/>
      <c r="C107" s="36" t="s">
        <v>412</v>
      </c>
      <c r="D107" s="95"/>
      <c r="E107" s="38"/>
      <c r="F107" s="4" t="s">
        <v>99</v>
      </c>
      <c r="G107" s="994"/>
      <c r="H107" s="995"/>
      <c r="I107" s="995"/>
      <c r="J107" s="995"/>
      <c r="K107" s="995"/>
      <c r="L107" s="995"/>
      <c r="M107" s="996"/>
      <c r="O107" s="344"/>
      <c r="P107" s="344"/>
      <c r="Q107" s="344"/>
      <c r="R107" s="344"/>
      <c r="AA107" s="354" t="s">
        <v>425</v>
      </c>
      <c r="AB107" s="354"/>
      <c r="AC107" s="354" t="s">
        <v>425</v>
      </c>
      <c r="AD107" s="352"/>
      <c r="AE107" s="380"/>
      <c r="AF107" s="380" t="str">
        <f t="shared" si="1"/>
        <v>Eingriffstiefe angeben</v>
      </c>
      <c r="AJ107" s="503"/>
      <c r="AK107" s="503"/>
      <c r="AL107" s="380"/>
      <c r="AM107" s="380"/>
      <c r="AN107" s="380"/>
      <c r="AO107" s="380"/>
      <c r="AP107" s="380"/>
      <c r="AQ107" s="380"/>
      <c r="AR107" s="380"/>
    </row>
    <row r="108" spans="2:44" ht="13.5" customHeight="1" outlineLevel="1" x14ac:dyDescent="0.2">
      <c r="B108" s="1025"/>
      <c r="C108" s="36" t="s">
        <v>188</v>
      </c>
      <c r="D108" s="95"/>
      <c r="E108" s="38"/>
      <c r="F108" s="4" t="s">
        <v>99</v>
      </c>
      <c r="G108" s="994"/>
      <c r="H108" s="995"/>
      <c r="I108" s="995"/>
      <c r="J108" s="995"/>
      <c r="K108" s="995"/>
      <c r="L108" s="995"/>
      <c r="M108" s="996"/>
      <c r="O108" s="344"/>
      <c r="P108" s="344"/>
      <c r="Q108" s="344"/>
      <c r="R108" s="344"/>
      <c r="AA108" s="354" t="s">
        <v>426</v>
      </c>
      <c r="AB108" s="355"/>
      <c r="AC108" s="354" t="s">
        <v>426</v>
      </c>
      <c r="AD108" s="352"/>
      <c r="AE108" s="380"/>
      <c r="AF108" s="380" t="str">
        <f t="shared" si="1"/>
        <v>Eingriffstiefe angeben</v>
      </c>
      <c r="AJ108" s="503"/>
      <c r="AK108" s="503"/>
      <c r="AL108" s="380"/>
      <c r="AM108" s="380"/>
      <c r="AN108" s="380"/>
      <c r="AO108" s="380"/>
      <c r="AP108" s="380"/>
      <c r="AQ108" s="380"/>
      <c r="AR108" s="380"/>
    </row>
    <row r="109" spans="2:44" ht="13.5" customHeight="1" outlineLevel="1" x14ac:dyDescent="0.2">
      <c r="B109" s="1025"/>
      <c r="C109" s="36" t="s">
        <v>410</v>
      </c>
      <c r="D109" s="95"/>
      <c r="E109" s="38"/>
      <c r="F109" s="4" t="s">
        <v>99</v>
      </c>
      <c r="G109" s="994"/>
      <c r="H109" s="995"/>
      <c r="I109" s="995"/>
      <c r="J109" s="995"/>
      <c r="K109" s="995"/>
      <c r="L109" s="995"/>
      <c r="M109" s="996"/>
      <c r="O109" s="344"/>
      <c r="P109" s="344"/>
      <c r="Q109" s="344"/>
      <c r="R109" s="344"/>
      <c r="AA109" s="354" t="s">
        <v>462</v>
      </c>
      <c r="AB109" s="355"/>
      <c r="AC109" s="354" t="s">
        <v>462</v>
      </c>
      <c r="AD109" s="352"/>
      <c r="AE109" s="380"/>
      <c r="AF109" s="380" t="str">
        <f t="shared" si="1"/>
        <v>Eingriffstiefe angeben</v>
      </c>
      <c r="AJ109" s="503"/>
      <c r="AK109" s="503"/>
      <c r="AL109" s="380"/>
      <c r="AM109" s="380"/>
      <c r="AN109" s="380"/>
      <c r="AO109" s="380"/>
      <c r="AP109" s="380"/>
      <c r="AQ109" s="380"/>
      <c r="AR109" s="380"/>
    </row>
    <row r="110" spans="2:44" ht="13.5" customHeight="1" outlineLevel="1" x14ac:dyDescent="0.2">
      <c r="B110" s="1025"/>
      <c r="C110" s="36" t="s">
        <v>189</v>
      </c>
      <c r="D110" s="95"/>
      <c r="E110" s="38"/>
      <c r="F110" s="4" t="s">
        <v>99</v>
      </c>
      <c r="G110" s="994"/>
      <c r="H110" s="995"/>
      <c r="I110" s="995"/>
      <c r="J110" s="995"/>
      <c r="K110" s="995"/>
      <c r="L110" s="995"/>
      <c r="M110" s="996"/>
      <c r="O110" s="344"/>
      <c r="P110" s="344"/>
      <c r="Q110" s="344"/>
      <c r="R110" s="344"/>
      <c r="AA110" s="354" t="s">
        <v>463</v>
      </c>
      <c r="AB110" s="355"/>
      <c r="AC110" s="354" t="s">
        <v>463</v>
      </c>
      <c r="AD110" s="352"/>
      <c r="AE110" s="380"/>
      <c r="AF110" s="380" t="str">
        <f t="shared" si="1"/>
        <v>Eingriffstiefe angeben</v>
      </c>
      <c r="AJ110" s="503"/>
      <c r="AK110" s="503"/>
      <c r="AL110" s="380"/>
      <c r="AM110" s="380"/>
      <c r="AN110" s="380"/>
      <c r="AO110" s="380"/>
      <c r="AP110" s="380"/>
      <c r="AQ110" s="380"/>
      <c r="AR110" s="380"/>
    </row>
    <row r="111" spans="2:44" ht="13.5" customHeight="1" outlineLevel="1" x14ac:dyDescent="0.2">
      <c r="B111" s="1025"/>
      <c r="C111" s="36" t="s">
        <v>104</v>
      </c>
      <c r="D111" s="95"/>
      <c r="E111" s="38"/>
      <c r="F111" s="4" t="s">
        <v>99</v>
      </c>
      <c r="G111" s="994"/>
      <c r="H111" s="995"/>
      <c r="I111" s="995"/>
      <c r="J111" s="995"/>
      <c r="K111" s="995"/>
      <c r="L111" s="995"/>
      <c r="M111" s="996"/>
      <c r="O111" s="344"/>
      <c r="P111" s="344"/>
      <c r="Q111" s="344"/>
      <c r="R111" s="344"/>
      <c r="AA111" s="496"/>
      <c r="AB111" s="509"/>
      <c r="AC111" s="496"/>
      <c r="AD111" s="510"/>
      <c r="AE111" s="503"/>
      <c r="AF111" s="380"/>
      <c r="AJ111" s="503"/>
      <c r="AK111" s="503"/>
      <c r="AL111" s="380"/>
      <c r="AM111" s="380"/>
      <c r="AN111" s="380"/>
      <c r="AO111" s="380"/>
      <c r="AP111" s="380"/>
      <c r="AQ111" s="380"/>
      <c r="AR111" s="380"/>
    </row>
    <row r="112" spans="2:44" ht="13.5" customHeight="1" outlineLevel="1" x14ac:dyDescent="0.2">
      <c r="B112" s="1025"/>
      <c r="C112" s="36" t="s">
        <v>105</v>
      </c>
      <c r="D112" s="95"/>
      <c r="E112" s="38"/>
      <c r="F112" s="4" t="s">
        <v>99</v>
      </c>
      <c r="G112" s="994"/>
      <c r="H112" s="995"/>
      <c r="I112" s="995"/>
      <c r="J112" s="995"/>
      <c r="K112" s="995"/>
      <c r="L112" s="995"/>
      <c r="M112" s="996"/>
      <c r="O112" s="344"/>
      <c r="P112" s="344"/>
      <c r="Q112" s="344"/>
      <c r="R112" s="344"/>
      <c r="AA112" s="505"/>
      <c r="AB112" s="505"/>
      <c r="AC112" s="505"/>
      <c r="AD112" s="507"/>
      <c r="AE112" s="503"/>
      <c r="AF112" s="380"/>
      <c r="AJ112" s="503"/>
      <c r="AK112" s="503"/>
      <c r="AL112" s="380"/>
      <c r="AM112" s="380"/>
      <c r="AN112" s="380"/>
      <c r="AO112" s="380"/>
      <c r="AP112" s="380"/>
      <c r="AQ112" s="380"/>
      <c r="AR112" s="380"/>
    </row>
    <row r="113" spans="2:44" ht="13.5" customHeight="1" outlineLevel="1" x14ac:dyDescent="0.2">
      <c r="B113" s="1025"/>
      <c r="C113" s="36" t="s">
        <v>106</v>
      </c>
      <c r="D113" s="95"/>
      <c r="E113" s="38"/>
      <c r="F113" s="4" t="s">
        <v>99</v>
      </c>
      <c r="G113" s="994"/>
      <c r="H113" s="995"/>
      <c r="I113" s="995"/>
      <c r="J113" s="995"/>
      <c r="K113" s="995"/>
      <c r="L113" s="995"/>
      <c r="M113" s="996"/>
      <c r="O113" s="344"/>
      <c r="P113" s="344"/>
      <c r="Q113" s="344"/>
      <c r="R113" s="344"/>
      <c r="AA113" s="381"/>
      <c r="AB113" s="381"/>
      <c r="AC113" s="381"/>
      <c r="AD113" s="511"/>
      <c r="AE113" s="503"/>
      <c r="AF113" s="380"/>
      <c r="AG113" s="503"/>
      <c r="AH113" s="503"/>
      <c r="AK113" s="503"/>
      <c r="AL113" s="380"/>
      <c r="AM113" s="380"/>
      <c r="AN113" s="380"/>
      <c r="AO113" s="380"/>
      <c r="AP113" s="380"/>
      <c r="AQ113" s="380"/>
      <c r="AR113" s="380"/>
    </row>
    <row r="114" spans="2:44" ht="13.5" customHeight="1" outlineLevel="1" x14ac:dyDescent="0.2">
      <c r="B114" s="1025"/>
      <c r="C114" s="109" t="s">
        <v>107</v>
      </c>
      <c r="D114" s="110"/>
      <c r="E114" s="91"/>
      <c r="F114" s="18" t="s">
        <v>99</v>
      </c>
      <c r="G114" s="997"/>
      <c r="H114" s="998"/>
      <c r="I114" s="998"/>
      <c r="J114" s="998"/>
      <c r="K114" s="998"/>
      <c r="L114" s="998"/>
      <c r="M114" s="999"/>
      <c r="O114" s="344"/>
      <c r="P114" s="344"/>
      <c r="Q114" s="344"/>
      <c r="R114" s="344"/>
      <c r="AA114" s="381"/>
      <c r="AB114" s="381"/>
      <c r="AC114" s="381"/>
      <c r="AD114" s="511"/>
      <c r="AE114" s="503"/>
      <c r="AF114" s="380"/>
      <c r="AG114" s="512"/>
      <c r="AH114" s="513"/>
      <c r="AK114" s="503"/>
      <c r="AL114" s="380"/>
      <c r="AM114" s="380"/>
      <c r="AN114" s="380"/>
      <c r="AO114" s="380"/>
      <c r="AP114" s="380"/>
      <c r="AQ114" s="380"/>
      <c r="AR114" s="380"/>
    </row>
    <row r="115" spans="2:44" ht="49.5" customHeight="1" outlineLevel="1" x14ac:dyDescent="0.2">
      <c r="B115" s="1025"/>
      <c r="C115" s="1018" t="s">
        <v>622</v>
      </c>
      <c r="D115" s="1019"/>
      <c r="E115" s="1020"/>
      <c r="F115" s="528" t="s">
        <v>99</v>
      </c>
      <c r="G115" s="1014"/>
      <c r="H115" s="1010"/>
      <c r="I115" s="1010"/>
      <c r="J115" s="1010"/>
      <c r="K115" s="1010"/>
      <c r="L115" s="1010"/>
      <c r="M115" s="1011"/>
      <c r="O115" s="344"/>
      <c r="P115" s="344"/>
      <c r="Q115" s="344"/>
      <c r="R115" s="344"/>
      <c r="AI115" s="503"/>
      <c r="AK115" s="503"/>
      <c r="AL115" s="380"/>
      <c r="AM115" s="380"/>
      <c r="AN115" s="380"/>
      <c r="AO115" s="380"/>
      <c r="AP115" s="380"/>
      <c r="AQ115" s="380"/>
      <c r="AR115" s="380"/>
    </row>
    <row r="116" spans="2:44" ht="49.5" customHeight="1" outlineLevel="1" x14ac:dyDescent="0.2">
      <c r="B116" s="1026"/>
      <c r="C116" s="1018" t="s">
        <v>572</v>
      </c>
      <c r="D116" s="1019"/>
      <c r="E116" s="1020"/>
      <c r="F116" s="528" t="s">
        <v>99</v>
      </c>
      <c r="G116" s="1009"/>
      <c r="H116" s="1010"/>
      <c r="I116" s="1010"/>
      <c r="J116" s="1010"/>
      <c r="K116" s="1010"/>
      <c r="L116" s="1010"/>
      <c r="M116" s="1011"/>
      <c r="O116" s="344"/>
      <c r="P116" s="344"/>
      <c r="Q116" s="344"/>
      <c r="R116" s="344"/>
      <c r="AI116" s="514"/>
      <c r="AK116" s="503"/>
      <c r="AL116" s="380"/>
      <c r="AM116" s="380"/>
      <c r="AN116" s="380"/>
      <c r="AO116" s="380"/>
      <c r="AP116" s="380"/>
      <c r="AQ116" s="380"/>
      <c r="AR116" s="380"/>
    </row>
    <row r="117" spans="2:44" ht="12" customHeight="1" x14ac:dyDescent="0.2">
      <c r="G117" s="9"/>
      <c r="H117" s="9"/>
      <c r="I117" s="9"/>
      <c r="J117" s="9"/>
      <c r="K117" s="9"/>
      <c r="O117" s="344"/>
      <c r="P117" s="344"/>
      <c r="Q117" s="344"/>
      <c r="R117" s="344"/>
      <c r="AK117" s="503"/>
      <c r="AL117" s="380"/>
      <c r="AM117" s="380"/>
      <c r="AN117" s="380"/>
      <c r="AO117" s="380"/>
      <c r="AP117" s="380"/>
      <c r="AQ117" s="380"/>
      <c r="AR117" s="380"/>
    </row>
    <row r="118" spans="2:44" ht="24" customHeight="1" outlineLevel="1" x14ac:dyDescent="0.2">
      <c r="B118" s="1015"/>
      <c r="C118" s="305" t="s">
        <v>700</v>
      </c>
      <c r="D118" s="201"/>
      <c r="E118" s="201"/>
      <c r="F118" s="201"/>
      <c r="G118" s="1003"/>
      <c r="H118" s="1004"/>
      <c r="I118" s="1004"/>
      <c r="J118" s="1004"/>
      <c r="K118" s="1004"/>
      <c r="L118" s="1004"/>
      <c r="M118" s="1005"/>
      <c r="O118" s="344"/>
      <c r="P118" s="344"/>
      <c r="Q118" s="344"/>
      <c r="R118" s="344"/>
      <c r="AK118" s="503"/>
      <c r="AL118" s="380"/>
      <c r="AM118" s="380"/>
      <c r="AN118" s="380"/>
      <c r="AO118" s="380"/>
      <c r="AP118" s="380"/>
      <c r="AQ118" s="380"/>
      <c r="AR118" s="380"/>
    </row>
    <row r="119" spans="2:44" ht="13.5" customHeight="1" outlineLevel="1" x14ac:dyDescent="0.2">
      <c r="B119" s="1016"/>
      <c r="C119" s="36" t="s">
        <v>100</v>
      </c>
      <c r="D119" s="95"/>
      <c r="E119" s="38"/>
      <c r="F119" s="4" t="s">
        <v>99</v>
      </c>
      <c r="G119" s="994"/>
      <c r="H119" s="995"/>
      <c r="I119" s="995"/>
      <c r="J119" s="995"/>
      <c r="K119" s="995"/>
      <c r="L119" s="995"/>
      <c r="M119" s="996"/>
      <c r="O119" s="344"/>
      <c r="P119" s="344"/>
      <c r="Q119" s="344"/>
      <c r="R119" s="344"/>
      <c r="AK119" s="503"/>
      <c r="AL119" s="380"/>
      <c r="AM119" s="380"/>
      <c r="AN119" s="380"/>
      <c r="AO119" s="380"/>
      <c r="AP119" s="380"/>
      <c r="AQ119" s="380"/>
      <c r="AR119" s="380"/>
    </row>
    <row r="120" spans="2:44" ht="13.5" customHeight="1" outlineLevel="1" x14ac:dyDescent="0.2">
      <c r="B120" s="1016"/>
      <c r="C120" s="36" t="s">
        <v>101</v>
      </c>
      <c r="D120" s="95"/>
      <c r="E120" s="38"/>
      <c r="F120" s="4" t="s">
        <v>99</v>
      </c>
      <c r="G120" s="994"/>
      <c r="H120" s="995"/>
      <c r="I120" s="995"/>
      <c r="J120" s="995"/>
      <c r="K120" s="995"/>
      <c r="L120" s="995"/>
      <c r="M120" s="996"/>
      <c r="O120" s="344"/>
      <c r="P120" s="344"/>
      <c r="Q120" s="344"/>
      <c r="R120" s="344"/>
      <c r="AK120" s="503"/>
      <c r="AL120" s="380"/>
      <c r="AM120" s="380"/>
      <c r="AN120" s="380"/>
      <c r="AO120" s="380"/>
      <c r="AP120" s="380"/>
      <c r="AQ120" s="380"/>
      <c r="AR120" s="380"/>
    </row>
    <row r="121" spans="2:44" ht="13.5" customHeight="1" outlineLevel="1" x14ac:dyDescent="0.2">
      <c r="B121" s="1016"/>
      <c r="C121" s="36" t="s">
        <v>102</v>
      </c>
      <c r="D121" s="95"/>
      <c r="E121" s="38"/>
      <c r="F121" s="4" t="s">
        <v>99</v>
      </c>
      <c r="G121" s="994"/>
      <c r="H121" s="995"/>
      <c r="I121" s="995"/>
      <c r="J121" s="995"/>
      <c r="K121" s="995"/>
      <c r="L121" s="995"/>
      <c r="M121" s="996"/>
      <c r="O121" s="344"/>
      <c r="P121" s="344"/>
      <c r="Q121" s="344"/>
      <c r="R121" s="344"/>
      <c r="AK121" s="503"/>
      <c r="AL121" s="380"/>
      <c r="AM121" s="380"/>
      <c r="AN121" s="380"/>
      <c r="AO121" s="380"/>
      <c r="AP121" s="380"/>
      <c r="AQ121" s="380"/>
      <c r="AR121" s="380"/>
    </row>
    <row r="122" spans="2:44" ht="13.5" customHeight="1" outlineLevel="1" x14ac:dyDescent="0.2">
      <c r="B122" s="1016"/>
      <c r="C122" s="36" t="s">
        <v>103</v>
      </c>
      <c r="D122" s="95"/>
      <c r="E122" s="38"/>
      <c r="F122" s="4" t="s">
        <v>99</v>
      </c>
      <c r="G122" s="994"/>
      <c r="H122" s="995"/>
      <c r="I122" s="995"/>
      <c r="J122" s="995"/>
      <c r="K122" s="995"/>
      <c r="L122" s="995"/>
      <c r="M122" s="996"/>
      <c r="O122" s="344"/>
      <c r="P122" s="344"/>
      <c r="Q122" s="344"/>
      <c r="R122" s="344"/>
      <c r="AK122" s="503"/>
      <c r="AL122" s="380"/>
      <c r="AM122" s="380"/>
      <c r="AN122" s="380"/>
      <c r="AO122" s="380"/>
      <c r="AP122" s="380"/>
      <c r="AQ122" s="380"/>
      <c r="AR122" s="380"/>
    </row>
    <row r="123" spans="2:44" ht="13.5" customHeight="1" outlineLevel="1" x14ac:dyDescent="0.2">
      <c r="B123" s="1016"/>
      <c r="C123" s="36" t="s">
        <v>370</v>
      </c>
      <c r="D123" s="95"/>
      <c r="E123" s="38"/>
      <c r="F123" s="4" t="s">
        <v>99</v>
      </c>
      <c r="G123" s="994"/>
      <c r="H123" s="1012"/>
      <c r="I123" s="1012"/>
      <c r="J123" s="1012"/>
      <c r="K123" s="1012"/>
      <c r="L123" s="1012"/>
      <c r="M123" s="1013"/>
      <c r="O123" s="344"/>
      <c r="P123" s="344"/>
      <c r="Q123" s="344"/>
      <c r="R123" s="344"/>
      <c r="AJ123" s="503"/>
      <c r="AK123" s="503"/>
      <c r="AL123" s="380"/>
      <c r="AM123" s="380"/>
      <c r="AN123" s="380"/>
      <c r="AO123" s="380"/>
      <c r="AP123" s="380"/>
      <c r="AQ123" s="380"/>
      <c r="AR123" s="380"/>
    </row>
    <row r="124" spans="2:44" ht="13.5" customHeight="1" outlineLevel="1" x14ac:dyDescent="0.2">
      <c r="B124" s="1016"/>
      <c r="C124" s="36" t="s">
        <v>569</v>
      </c>
      <c r="D124" s="95"/>
      <c r="E124" s="38"/>
      <c r="F124" s="4" t="s">
        <v>99</v>
      </c>
      <c r="G124" s="994"/>
      <c r="H124" s="995"/>
      <c r="I124" s="995"/>
      <c r="J124" s="995"/>
      <c r="K124" s="995"/>
      <c r="L124" s="995"/>
      <c r="M124" s="996"/>
      <c r="O124" s="344"/>
      <c r="P124" s="344"/>
      <c r="Q124" s="344"/>
      <c r="R124" s="344"/>
      <c r="AJ124" s="503"/>
      <c r="AK124" s="503"/>
      <c r="AL124" s="380"/>
      <c r="AM124" s="380"/>
      <c r="AN124" s="380"/>
      <c r="AO124" s="380"/>
      <c r="AP124" s="380"/>
      <c r="AQ124" s="380"/>
      <c r="AR124" s="380"/>
    </row>
    <row r="125" spans="2:44" ht="13.5" customHeight="1" outlineLevel="1" x14ac:dyDescent="0.2">
      <c r="B125" s="1016"/>
      <c r="C125" s="36" t="s">
        <v>412</v>
      </c>
      <c r="D125" s="95"/>
      <c r="E125" s="38"/>
      <c r="F125" s="4" t="s">
        <v>99</v>
      </c>
      <c r="G125" s="994"/>
      <c r="H125" s="995"/>
      <c r="I125" s="995"/>
      <c r="J125" s="995"/>
      <c r="K125" s="995"/>
      <c r="L125" s="995"/>
      <c r="M125" s="996"/>
      <c r="O125" s="344"/>
      <c r="P125" s="344"/>
      <c r="Q125" s="344"/>
      <c r="R125" s="344"/>
      <c r="AK125" s="503"/>
      <c r="AL125" s="380"/>
      <c r="AM125" s="380"/>
      <c r="AN125" s="380"/>
      <c r="AO125" s="380"/>
      <c r="AP125" s="380"/>
      <c r="AQ125" s="380"/>
      <c r="AR125" s="380"/>
    </row>
    <row r="126" spans="2:44" ht="13.5" customHeight="1" outlineLevel="1" x14ac:dyDescent="0.2">
      <c r="B126" s="1016"/>
      <c r="C126" s="36" t="s">
        <v>188</v>
      </c>
      <c r="D126" s="95"/>
      <c r="E126" s="38"/>
      <c r="F126" s="4" t="s">
        <v>99</v>
      </c>
      <c r="G126" s="994"/>
      <c r="H126" s="995"/>
      <c r="I126" s="995"/>
      <c r="J126" s="995"/>
      <c r="K126" s="995"/>
      <c r="L126" s="995"/>
      <c r="M126" s="996"/>
      <c r="O126" s="344"/>
      <c r="P126" s="344"/>
      <c r="Q126" s="344"/>
      <c r="R126" s="344"/>
      <c r="AK126" s="503"/>
      <c r="AL126" s="380"/>
      <c r="AM126" s="380"/>
      <c r="AN126" s="380"/>
      <c r="AO126" s="380"/>
      <c r="AP126" s="380"/>
      <c r="AQ126" s="380"/>
      <c r="AR126" s="380"/>
    </row>
    <row r="127" spans="2:44" ht="13.5" customHeight="1" outlineLevel="1" x14ac:dyDescent="0.2">
      <c r="B127" s="1016"/>
      <c r="C127" s="36" t="s">
        <v>410</v>
      </c>
      <c r="D127" s="95"/>
      <c r="E127" s="38"/>
      <c r="F127" s="4" t="s">
        <v>99</v>
      </c>
      <c r="G127" s="994"/>
      <c r="H127" s="995"/>
      <c r="I127" s="995"/>
      <c r="J127" s="995"/>
      <c r="K127" s="995"/>
      <c r="L127" s="995"/>
      <c r="M127" s="996"/>
      <c r="O127" s="344"/>
      <c r="P127" s="344"/>
      <c r="Q127" s="344"/>
      <c r="R127" s="344"/>
      <c r="AK127" s="503"/>
      <c r="AL127" s="380"/>
      <c r="AM127" s="380"/>
      <c r="AN127" s="380"/>
      <c r="AO127" s="380"/>
      <c r="AP127" s="380"/>
      <c r="AQ127" s="380"/>
      <c r="AR127" s="380"/>
    </row>
    <row r="128" spans="2:44" ht="13.5" customHeight="1" outlineLevel="1" x14ac:dyDescent="0.2">
      <c r="B128" s="1016"/>
      <c r="C128" s="36" t="s">
        <v>189</v>
      </c>
      <c r="D128" s="95"/>
      <c r="E128" s="38"/>
      <c r="F128" s="4" t="s">
        <v>99</v>
      </c>
      <c r="G128" s="994"/>
      <c r="H128" s="995"/>
      <c r="I128" s="995"/>
      <c r="J128" s="995"/>
      <c r="K128" s="995"/>
      <c r="L128" s="995"/>
      <c r="M128" s="996"/>
      <c r="O128" s="344"/>
      <c r="P128" s="344"/>
      <c r="Q128" s="344"/>
      <c r="R128" s="344"/>
      <c r="AK128" s="503"/>
      <c r="AL128" s="380"/>
      <c r="AM128" s="380"/>
      <c r="AN128" s="380"/>
      <c r="AO128" s="380"/>
      <c r="AP128" s="380"/>
      <c r="AQ128" s="380"/>
      <c r="AR128" s="380"/>
    </row>
    <row r="129" spans="1:44" ht="13.5" customHeight="1" outlineLevel="1" x14ac:dyDescent="0.2">
      <c r="B129" s="1016"/>
      <c r="C129" s="36" t="s">
        <v>104</v>
      </c>
      <c r="D129" s="95"/>
      <c r="E129" s="38"/>
      <c r="F129" s="4" t="s">
        <v>99</v>
      </c>
      <c r="G129" s="994"/>
      <c r="H129" s="995"/>
      <c r="I129" s="995"/>
      <c r="J129" s="995"/>
      <c r="K129" s="995"/>
      <c r="L129" s="995"/>
      <c r="M129" s="996"/>
      <c r="O129" s="344"/>
      <c r="P129" s="344"/>
      <c r="Q129" s="344"/>
      <c r="R129" s="344"/>
      <c r="AA129" s="239"/>
      <c r="AB129" s="239"/>
      <c r="AC129" s="239"/>
      <c r="AD129" s="239"/>
      <c r="AE129" s="239"/>
      <c r="AF129" s="239"/>
      <c r="AG129" s="239"/>
      <c r="AH129" s="239"/>
      <c r="AL129" s="380"/>
      <c r="AM129" s="380"/>
      <c r="AN129" s="380"/>
      <c r="AO129" s="380"/>
      <c r="AP129" s="380"/>
      <c r="AQ129" s="380"/>
      <c r="AR129" s="380"/>
    </row>
    <row r="130" spans="1:44" ht="13.5" customHeight="1" outlineLevel="1" x14ac:dyDescent="0.2">
      <c r="B130" s="1016"/>
      <c r="C130" s="36" t="s">
        <v>105</v>
      </c>
      <c r="D130" s="95"/>
      <c r="E130" s="38"/>
      <c r="F130" s="4" t="s">
        <v>99</v>
      </c>
      <c r="G130" s="994"/>
      <c r="H130" s="995"/>
      <c r="I130" s="995"/>
      <c r="J130" s="995"/>
      <c r="K130" s="995"/>
      <c r="L130" s="995"/>
      <c r="M130" s="996"/>
      <c r="O130" s="344"/>
      <c r="P130" s="344"/>
      <c r="Q130" s="344"/>
      <c r="R130" s="344"/>
      <c r="AA130" s="239"/>
      <c r="AB130" s="239"/>
      <c r="AC130" s="239"/>
      <c r="AD130" s="239"/>
      <c r="AE130" s="239"/>
      <c r="AF130" s="239"/>
      <c r="AG130" s="239"/>
      <c r="AH130" s="239"/>
      <c r="AL130" s="380"/>
      <c r="AM130" s="380"/>
      <c r="AN130" s="380"/>
      <c r="AO130" s="380"/>
      <c r="AP130" s="380"/>
      <c r="AQ130" s="380"/>
      <c r="AR130" s="380"/>
    </row>
    <row r="131" spans="1:44" ht="13.5" customHeight="1" outlineLevel="1" x14ac:dyDescent="0.2">
      <c r="B131" s="1016"/>
      <c r="C131" s="36" t="s">
        <v>106</v>
      </c>
      <c r="D131" s="95"/>
      <c r="E131" s="38"/>
      <c r="F131" s="4" t="s">
        <v>99</v>
      </c>
      <c r="G131" s="994"/>
      <c r="H131" s="995"/>
      <c r="I131" s="995"/>
      <c r="J131" s="995"/>
      <c r="K131" s="995"/>
      <c r="L131" s="995"/>
      <c r="M131" s="996"/>
      <c r="O131" s="344"/>
      <c r="P131" s="344"/>
      <c r="Q131" s="344"/>
      <c r="R131" s="344"/>
      <c r="AA131" s="239"/>
      <c r="AB131" s="239"/>
      <c r="AC131" s="239"/>
      <c r="AD131" s="239"/>
      <c r="AE131" s="239"/>
      <c r="AF131" s="239"/>
      <c r="AG131" s="239"/>
      <c r="AH131" s="239"/>
      <c r="AI131" s="239"/>
      <c r="AL131" s="380"/>
      <c r="AM131" s="380"/>
      <c r="AN131" s="380"/>
      <c r="AO131" s="380"/>
      <c r="AP131" s="380"/>
      <c r="AQ131" s="380"/>
      <c r="AR131" s="380"/>
    </row>
    <row r="132" spans="1:44" ht="13.5" customHeight="1" outlineLevel="1" x14ac:dyDescent="0.2">
      <c r="B132" s="1016"/>
      <c r="C132" s="109" t="s">
        <v>107</v>
      </c>
      <c r="D132" s="110"/>
      <c r="E132" s="91"/>
      <c r="F132" s="18" t="s">
        <v>99</v>
      </c>
      <c r="G132" s="997"/>
      <c r="H132" s="998"/>
      <c r="I132" s="998"/>
      <c r="J132" s="998"/>
      <c r="K132" s="998"/>
      <c r="L132" s="998"/>
      <c r="M132" s="999"/>
      <c r="O132" s="344"/>
      <c r="P132" s="344"/>
      <c r="Q132" s="344"/>
      <c r="R132" s="344"/>
      <c r="AA132" s="239"/>
      <c r="AB132" s="239"/>
      <c r="AC132" s="239"/>
      <c r="AD132" s="239"/>
      <c r="AE132" s="239"/>
      <c r="AF132" s="239"/>
      <c r="AG132" s="239"/>
      <c r="AH132" s="239"/>
      <c r="AI132" s="239"/>
      <c r="AL132" s="380"/>
      <c r="AM132" s="380"/>
      <c r="AN132" s="380"/>
      <c r="AO132" s="380"/>
      <c r="AP132" s="380"/>
      <c r="AQ132" s="380"/>
      <c r="AR132" s="380"/>
    </row>
    <row r="133" spans="1:44" ht="49.5" customHeight="1" outlineLevel="1" x14ac:dyDescent="0.2">
      <c r="A133" s="240"/>
      <c r="B133" s="1016"/>
      <c r="C133" s="1018" t="s">
        <v>622</v>
      </c>
      <c r="D133" s="1019"/>
      <c r="E133" s="1020"/>
      <c r="F133" s="528" t="s">
        <v>99</v>
      </c>
      <c r="G133" s="1014"/>
      <c r="H133" s="1010"/>
      <c r="I133" s="1010"/>
      <c r="J133" s="1010"/>
      <c r="K133" s="1010"/>
      <c r="L133" s="1010"/>
      <c r="M133" s="1011"/>
      <c r="AA133" s="239"/>
      <c r="AB133" s="239"/>
      <c r="AC133" s="239"/>
      <c r="AD133" s="239"/>
      <c r="AE133" s="239"/>
      <c r="AF133" s="239"/>
      <c r="AG133" s="239"/>
      <c r="AH133" s="239"/>
      <c r="AI133" s="239"/>
    </row>
    <row r="134" spans="1:44" ht="49.5" customHeight="1" outlineLevel="1" x14ac:dyDescent="0.2">
      <c r="A134" s="240"/>
      <c r="B134" s="1017"/>
      <c r="C134" s="1018" t="s">
        <v>572</v>
      </c>
      <c r="D134" s="1019"/>
      <c r="E134" s="1020"/>
      <c r="F134" s="528" t="s">
        <v>99</v>
      </c>
      <c r="G134" s="1009"/>
      <c r="H134" s="1010"/>
      <c r="I134" s="1010"/>
      <c r="J134" s="1010"/>
      <c r="K134" s="1010"/>
      <c r="L134" s="1010"/>
      <c r="M134" s="1011"/>
      <c r="AA134" s="239"/>
      <c r="AB134" s="239"/>
      <c r="AC134" s="239"/>
      <c r="AD134" s="239"/>
      <c r="AE134" s="239"/>
      <c r="AF134" s="239"/>
      <c r="AG134" s="239"/>
      <c r="AH134" s="239"/>
      <c r="AI134" s="239"/>
    </row>
    <row r="135" spans="1:44" ht="12" customHeight="1" x14ac:dyDescent="0.2">
      <c r="A135" s="240"/>
      <c r="AA135" s="239"/>
      <c r="AB135" s="239"/>
      <c r="AC135" s="239"/>
      <c r="AD135" s="239"/>
      <c r="AE135" s="239"/>
      <c r="AF135" s="239"/>
      <c r="AG135" s="239"/>
      <c r="AH135" s="239"/>
      <c r="AI135" s="239"/>
    </row>
    <row r="136" spans="1:44" ht="12" customHeight="1" x14ac:dyDescent="0.2">
      <c r="A136" s="240"/>
      <c r="AA136" s="239"/>
      <c r="AB136" s="239"/>
      <c r="AC136" s="239"/>
      <c r="AD136" s="239"/>
      <c r="AE136" s="239"/>
      <c r="AF136" s="239"/>
      <c r="AG136" s="239"/>
      <c r="AH136" s="239"/>
      <c r="AI136" s="239"/>
    </row>
    <row r="137" spans="1:44" ht="12" hidden="1" customHeight="1" x14ac:dyDescent="0.2">
      <c r="A137" s="240"/>
      <c r="AA137" s="239"/>
      <c r="AB137" s="239"/>
      <c r="AC137" s="239"/>
      <c r="AD137" s="239"/>
      <c r="AE137" s="239"/>
      <c r="AF137" s="239"/>
      <c r="AG137" s="239"/>
      <c r="AH137" s="239"/>
      <c r="AI137" s="239"/>
    </row>
    <row r="138" spans="1:44" ht="12" hidden="1" customHeight="1" x14ac:dyDescent="0.2">
      <c r="A138" s="240"/>
      <c r="AA138" s="239"/>
      <c r="AB138" s="239"/>
      <c r="AC138" s="239"/>
      <c r="AD138" s="239"/>
      <c r="AE138" s="239"/>
      <c r="AF138" s="239"/>
      <c r="AG138" s="239"/>
      <c r="AH138" s="239"/>
      <c r="AI138" s="239"/>
    </row>
    <row r="139" spans="1:44" ht="12" hidden="1" customHeight="1" x14ac:dyDescent="0.2">
      <c r="A139" s="240"/>
      <c r="AA139" s="239"/>
      <c r="AB139" s="239"/>
      <c r="AC139" s="239"/>
      <c r="AD139" s="239"/>
      <c r="AE139" s="239"/>
      <c r="AF139" s="239"/>
      <c r="AG139" s="239"/>
      <c r="AH139" s="239"/>
      <c r="AI139" s="239"/>
      <c r="AJ139" s="239"/>
    </row>
    <row r="140" spans="1:44" ht="12" hidden="1" customHeight="1" x14ac:dyDescent="0.2">
      <c r="A140" s="240"/>
      <c r="AA140" s="239"/>
      <c r="AB140" s="239"/>
      <c r="AC140" s="239"/>
      <c r="AD140" s="239"/>
      <c r="AE140" s="239"/>
      <c r="AF140" s="239"/>
      <c r="AG140" s="239"/>
      <c r="AH140" s="239"/>
      <c r="AI140" s="239"/>
      <c r="AJ140" s="239"/>
    </row>
    <row r="141" spans="1:44" ht="12" hidden="1" customHeight="1" x14ac:dyDescent="0.2">
      <c r="A141" s="240"/>
      <c r="AA141" s="239"/>
      <c r="AB141" s="239"/>
      <c r="AC141" s="239"/>
      <c r="AD141" s="239"/>
      <c r="AE141" s="239"/>
      <c r="AF141" s="239"/>
      <c r="AG141" s="239"/>
      <c r="AH141" s="239"/>
      <c r="AI141" s="239"/>
      <c r="AJ141" s="239"/>
    </row>
    <row r="142" spans="1:44" ht="12" hidden="1" customHeight="1" x14ac:dyDescent="0.2">
      <c r="A142" s="240"/>
      <c r="AA142" s="239"/>
      <c r="AB142" s="239"/>
      <c r="AC142" s="239"/>
      <c r="AD142" s="239"/>
      <c r="AE142" s="239"/>
      <c r="AF142" s="239"/>
      <c r="AG142" s="239"/>
      <c r="AH142" s="239"/>
      <c r="AI142" s="239"/>
      <c r="AJ142" s="239"/>
    </row>
    <row r="143" spans="1:44" ht="12" hidden="1" customHeight="1" x14ac:dyDescent="0.2">
      <c r="A143" s="240"/>
      <c r="AI143" s="239"/>
      <c r="AJ143" s="239"/>
      <c r="AK143" s="239"/>
    </row>
    <row r="144" spans="1:44" ht="12" hidden="1" customHeight="1" x14ac:dyDescent="0.2">
      <c r="A144" s="240"/>
      <c r="AI144" s="239"/>
      <c r="AJ144" s="239"/>
      <c r="AK144" s="239"/>
    </row>
    <row r="145" spans="1:37" ht="12" hidden="1" customHeight="1" x14ac:dyDescent="0.2">
      <c r="A145" s="240"/>
      <c r="AJ145" s="239"/>
      <c r="AK145" s="239"/>
    </row>
    <row r="146" spans="1:37" ht="12" hidden="1" customHeight="1" x14ac:dyDescent="0.2">
      <c r="A146" s="240"/>
      <c r="AJ146" s="239"/>
      <c r="AK146" s="239"/>
    </row>
    <row r="147" spans="1:37" ht="12" hidden="1" customHeight="1" x14ac:dyDescent="0.2">
      <c r="A147" s="240"/>
      <c r="B147" s="240"/>
      <c r="C147" s="240"/>
      <c r="D147" s="240"/>
      <c r="E147" s="240"/>
      <c r="F147" s="240"/>
      <c r="G147" s="240"/>
      <c r="H147" s="240"/>
      <c r="I147" s="240"/>
      <c r="J147" s="240"/>
      <c r="K147" s="240"/>
      <c r="L147" s="239"/>
      <c r="M147" s="239"/>
      <c r="N147" s="239"/>
      <c r="O147" s="239"/>
      <c r="P147" s="239"/>
      <c r="Q147" s="239"/>
      <c r="R147" s="239"/>
      <c r="S147" s="239"/>
      <c r="T147" s="239"/>
      <c r="U147" s="239"/>
      <c r="V147" s="239"/>
      <c r="AJ147" s="239"/>
      <c r="AK147" s="239"/>
    </row>
    <row r="148" spans="1:37" ht="12" hidden="1" customHeight="1" x14ac:dyDescent="0.2">
      <c r="A148" s="240"/>
      <c r="B148" s="240"/>
      <c r="C148" s="240"/>
      <c r="D148" s="240"/>
      <c r="E148" s="240"/>
      <c r="F148" s="240"/>
      <c r="G148" s="240"/>
      <c r="H148" s="240"/>
      <c r="I148" s="240"/>
      <c r="J148" s="240"/>
      <c r="K148" s="240"/>
      <c r="L148" s="239"/>
      <c r="M148" s="239"/>
      <c r="N148" s="239"/>
      <c r="O148" s="239"/>
      <c r="P148" s="239"/>
      <c r="Q148" s="239"/>
      <c r="R148" s="239"/>
      <c r="S148" s="239"/>
      <c r="T148" s="239"/>
      <c r="U148" s="239"/>
      <c r="V148" s="239"/>
      <c r="AJ148" s="239"/>
      <c r="AK148" s="239"/>
    </row>
    <row r="149" spans="1:37" ht="12" hidden="1" customHeight="1" x14ac:dyDescent="0.2">
      <c r="A149" s="240"/>
      <c r="B149" s="240"/>
      <c r="C149" s="240"/>
      <c r="D149" s="240"/>
      <c r="E149" s="240"/>
      <c r="F149" s="240"/>
      <c r="G149" s="240"/>
      <c r="H149" s="240"/>
      <c r="I149" s="240"/>
      <c r="J149" s="240"/>
      <c r="K149" s="240"/>
      <c r="L149" s="239"/>
      <c r="M149" s="239"/>
      <c r="N149" s="239"/>
      <c r="O149" s="239"/>
      <c r="P149" s="239"/>
      <c r="Q149" s="239"/>
      <c r="R149" s="239"/>
      <c r="S149" s="239"/>
      <c r="T149" s="239"/>
      <c r="U149" s="239"/>
      <c r="V149" s="239"/>
      <c r="AJ149" s="239"/>
      <c r="AK149" s="239"/>
    </row>
    <row r="150" spans="1:37" ht="12" hidden="1" customHeight="1" x14ac:dyDescent="0.2">
      <c r="A150" s="240"/>
      <c r="B150" s="240"/>
      <c r="C150" s="240"/>
      <c r="D150" s="240"/>
      <c r="E150" s="240"/>
      <c r="F150" s="240"/>
      <c r="G150" s="240"/>
      <c r="H150" s="240"/>
      <c r="I150" s="240"/>
      <c r="J150" s="240"/>
      <c r="K150" s="240"/>
      <c r="L150" s="239"/>
      <c r="M150" s="239"/>
      <c r="N150" s="239"/>
      <c r="O150" s="239"/>
      <c r="P150" s="239"/>
      <c r="Q150" s="239"/>
      <c r="R150" s="239"/>
      <c r="S150" s="239"/>
      <c r="T150" s="239"/>
      <c r="U150" s="239"/>
      <c r="V150" s="239"/>
      <c r="AJ150" s="239"/>
      <c r="AK150" s="239"/>
    </row>
    <row r="151" spans="1:37" ht="12" hidden="1" customHeight="1" x14ac:dyDescent="0.2">
      <c r="A151" s="240"/>
      <c r="B151" s="240"/>
      <c r="C151" s="240"/>
      <c r="D151" s="240"/>
      <c r="E151" s="240"/>
      <c r="F151" s="240"/>
      <c r="G151" s="240"/>
      <c r="H151" s="240"/>
      <c r="I151" s="240"/>
      <c r="J151" s="240"/>
      <c r="K151" s="240"/>
      <c r="L151" s="239"/>
      <c r="M151" s="239"/>
      <c r="N151" s="239"/>
      <c r="O151" s="239"/>
      <c r="P151" s="239"/>
      <c r="Q151" s="239"/>
      <c r="R151" s="239"/>
      <c r="S151" s="239"/>
      <c r="T151" s="239"/>
      <c r="U151" s="239"/>
      <c r="V151" s="239"/>
      <c r="AJ151" s="239"/>
      <c r="AK151" s="239"/>
    </row>
    <row r="152" spans="1:37" ht="12" customHeight="1" x14ac:dyDescent="0.2">
      <c r="A152" s="240"/>
      <c r="B152" s="240"/>
      <c r="C152" s="240"/>
      <c r="D152" s="240"/>
      <c r="E152" s="240"/>
      <c r="F152" s="240"/>
      <c r="G152" s="240"/>
      <c r="H152" s="240"/>
      <c r="I152" s="240"/>
      <c r="J152" s="240"/>
      <c r="K152" s="240"/>
      <c r="L152" s="239"/>
      <c r="M152" s="239"/>
      <c r="N152" s="239"/>
      <c r="O152" s="239"/>
      <c r="P152" s="239"/>
      <c r="Q152" s="239"/>
      <c r="R152" s="239"/>
      <c r="S152" s="239"/>
      <c r="T152" s="239"/>
      <c r="U152" s="239"/>
      <c r="V152" s="239"/>
      <c r="AJ152" s="239"/>
      <c r="AK152" s="239"/>
    </row>
    <row r="153" spans="1:37" ht="12" customHeight="1" x14ac:dyDescent="0.2">
      <c r="A153" s="240"/>
      <c r="B153" s="240"/>
      <c r="C153" s="240"/>
      <c r="D153" s="240"/>
      <c r="E153" s="240"/>
      <c r="F153" s="240"/>
      <c r="G153" s="240"/>
      <c r="H153" s="240"/>
      <c r="I153" s="240"/>
      <c r="J153" s="240"/>
      <c r="K153" s="240"/>
      <c r="L153" s="239"/>
      <c r="M153" s="239"/>
      <c r="N153" s="239"/>
      <c r="O153" s="239"/>
      <c r="P153" s="239"/>
      <c r="Q153" s="239"/>
      <c r="R153" s="239"/>
      <c r="S153" s="239"/>
      <c r="T153" s="239"/>
      <c r="U153" s="239"/>
      <c r="V153" s="239"/>
      <c r="AK153" s="239"/>
    </row>
    <row r="154" spans="1:37" ht="12" customHeight="1" x14ac:dyDescent="0.2">
      <c r="A154" s="240"/>
      <c r="B154" s="240"/>
      <c r="C154" s="240"/>
      <c r="D154" s="240"/>
      <c r="E154" s="240"/>
      <c r="F154" s="240"/>
      <c r="G154" s="240"/>
      <c r="H154" s="240"/>
      <c r="I154" s="240"/>
      <c r="J154" s="240"/>
      <c r="K154" s="240"/>
      <c r="L154" s="239"/>
      <c r="M154" s="239"/>
      <c r="N154" s="239"/>
      <c r="O154" s="239"/>
      <c r="P154" s="239"/>
      <c r="Q154" s="239"/>
      <c r="R154" s="239"/>
      <c r="S154" s="239"/>
      <c r="T154" s="239"/>
      <c r="U154" s="239"/>
      <c r="V154" s="239"/>
      <c r="AK154" s="239"/>
    </row>
    <row r="155" spans="1:37" ht="12" customHeight="1" x14ac:dyDescent="0.2">
      <c r="A155" s="240"/>
      <c r="B155" s="240"/>
      <c r="C155" s="240"/>
      <c r="D155" s="240"/>
      <c r="E155" s="240"/>
      <c r="F155" s="240"/>
      <c r="G155" s="240"/>
      <c r="H155" s="240"/>
      <c r="I155" s="240"/>
      <c r="J155" s="240"/>
      <c r="K155" s="240"/>
      <c r="L155" s="239"/>
      <c r="M155" s="239"/>
      <c r="N155" s="239"/>
      <c r="O155" s="239"/>
      <c r="P155" s="239"/>
      <c r="Q155" s="239"/>
      <c r="R155" s="239"/>
      <c r="S155" s="239"/>
      <c r="T155" s="239"/>
      <c r="U155" s="239"/>
      <c r="V155" s="239"/>
      <c r="AK155" s="239"/>
    </row>
    <row r="156" spans="1:37" ht="12" customHeight="1" x14ac:dyDescent="0.2">
      <c r="A156" s="240"/>
      <c r="B156" s="240"/>
      <c r="C156" s="240"/>
      <c r="D156" s="240"/>
      <c r="E156" s="240"/>
      <c r="F156" s="240"/>
      <c r="G156" s="240"/>
      <c r="H156" s="240"/>
      <c r="I156" s="240"/>
      <c r="J156" s="240"/>
      <c r="K156" s="240"/>
      <c r="L156" s="239"/>
      <c r="M156" s="239"/>
      <c r="N156" s="239"/>
      <c r="O156" s="239"/>
      <c r="P156" s="239"/>
      <c r="Q156" s="239"/>
      <c r="R156" s="239"/>
      <c r="S156" s="239"/>
      <c r="T156" s="239"/>
      <c r="U156" s="239"/>
      <c r="V156" s="239"/>
      <c r="AK156" s="239"/>
    </row>
    <row r="157" spans="1:37" ht="12" customHeight="1" x14ac:dyDescent="0.2">
      <c r="A157" s="240"/>
      <c r="B157" s="240"/>
      <c r="C157" s="240"/>
      <c r="D157" s="240"/>
      <c r="E157" s="240"/>
      <c r="F157" s="240"/>
      <c r="G157" s="240"/>
      <c r="H157" s="240"/>
      <c r="I157" s="240"/>
      <c r="J157" s="240"/>
      <c r="K157" s="240"/>
      <c r="L157" s="239"/>
      <c r="M157" s="239"/>
      <c r="N157" s="239"/>
      <c r="O157" s="239"/>
      <c r="P157" s="239"/>
      <c r="Q157" s="239"/>
      <c r="R157" s="239"/>
      <c r="S157" s="239"/>
      <c r="T157" s="239"/>
      <c r="U157" s="239"/>
      <c r="V157" s="239"/>
    </row>
    <row r="158" spans="1:37" ht="12" customHeight="1" x14ac:dyDescent="0.2">
      <c r="A158" s="240"/>
      <c r="B158" s="240"/>
      <c r="C158" s="240"/>
      <c r="D158" s="240"/>
      <c r="E158" s="240"/>
      <c r="F158" s="240"/>
      <c r="G158" s="240"/>
      <c r="H158" s="240"/>
      <c r="I158" s="240"/>
      <c r="J158" s="240"/>
      <c r="K158" s="240"/>
      <c r="L158" s="239"/>
      <c r="M158" s="239"/>
      <c r="N158" s="239"/>
      <c r="O158" s="239"/>
      <c r="P158" s="239"/>
      <c r="Q158" s="239"/>
      <c r="R158" s="239"/>
      <c r="S158" s="239"/>
      <c r="T158" s="239"/>
      <c r="U158" s="239"/>
      <c r="V158" s="239"/>
    </row>
    <row r="159" spans="1:37" ht="12" customHeight="1" x14ac:dyDescent="0.2">
      <c r="A159" s="240"/>
      <c r="B159" s="240"/>
      <c r="C159" s="240"/>
      <c r="D159" s="240"/>
      <c r="E159" s="240"/>
      <c r="F159" s="240"/>
      <c r="G159" s="240"/>
      <c r="H159" s="240"/>
      <c r="I159" s="240"/>
      <c r="J159" s="240"/>
      <c r="K159" s="240"/>
      <c r="L159" s="239"/>
      <c r="M159" s="239"/>
      <c r="N159" s="239"/>
      <c r="O159" s="239"/>
      <c r="P159" s="239"/>
      <c r="Q159" s="239"/>
      <c r="R159" s="239"/>
      <c r="S159" s="239"/>
      <c r="T159" s="239"/>
      <c r="U159" s="239"/>
      <c r="V159" s="239"/>
    </row>
    <row r="160" spans="1:37" ht="12" customHeight="1" x14ac:dyDescent="0.2">
      <c r="A160" s="240"/>
      <c r="B160" s="240"/>
      <c r="C160" s="240"/>
      <c r="D160" s="240"/>
      <c r="E160" s="240"/>
      <c r="F160" s="240"/>
      <c r="G160" s="240"/>
      <c r="H160" s="240"/>
      <c r="I160" s="240"/>
      <c r="J160" s="240"/>
      <c r="K160" s="240"/>
      <c r="L160" s="239"/>
      <c r="M160" s="239"/>
      <c r="N160" s="239"/>
      <c r="O160" s="239"/>
      <c r="P160" s="239"/>
      <c r="Q160" s="239"/>
      <c r="R160" s="239"/>
      <c r="S160" s="239"/>
      <c r="T160" s="239"/>
      <c r="U160" s="239"/>
      <c r="V160" s="239"/>
    </row>
  </sheetData>
  <sheetProtection selectLockedCells="1"/>
  <mergeCells count="182">
    <mergeCell ref="B4:B8"/>
    <mergeCell ref="C25:E25"/>
    <mergeCell ref="G25:M25"/>
    <mergeCell ref="C26:E26"/>
    <mergeCell ref="G26:M26"/>
    <mergeCell ref="C61:E61"/>
    <mergeCell ref="G61:M61"/>
    <mergeCell ref="G32:M32"/>
    <mergeCell ref="G34:M34"/>
    <mergeCell ref="G35:M35"/>
    <mergeCell ref="G11:M11"/>
    <mergeCell ref="G12:M12"/>
    <mergeCell ref="G13:M13"/>
    <mergeCell ref="G14:M14"/>
    <mergeCell ref="G16:M16"/>
    <mergeCell ref="C4:D4"/>
    <mergeCell ref="C5:D5"/>
    <mergeCell ref="C8:D8"/>
    <mergeCell ref="C6:D6"/>
    <mergeCell ref="C7:D7"/>
    <mergeCell ref="G55:M55"/>
    <mergeCell ref="G54:M54"/>
    <mergeCell ref="G56:M56"/>
    <mergeCell ref="G57:M57"/>
    <mergeCell ref="B64:B80"/>
    <mergeCell ref="B46:B62"/>
    <mergeCell ref="B10:B26"/>
    <mergeCell ref="B28:B44"/>
    <mergeCell ref="C97:E97"/>
    <mergeCell ref="G97:M97"/>
    <mergeCell ref="C79:E79"/>
    <mergeCell ref="G79:M79"/>
    <mergeCell ref="C80:E80"/>
    <mergeCell ref="G37:M37"/>
    <mergeCell ref="C62:E62"/>
    <mergeCell ref="G62:M62"/>
    <mergeCell ref="C43:E43"/>
    <mergeCell ref="G43:M43"/>
    <mergeCell ref="C44:E44"/>
    <mergeCell ref="G44:M44"/>
    <mergeCell ref="G46:M46"/>
    <mergeCell ref="G47:M47"/>
    <mergeCell ref="G48:M48"/>
    <mergeCell ref="G50:M50"/>
    <mergeCell ref="G15:M15"/>
    <mergeCell ref="G21:M21"/>
    <mergeCell ref="G22:M22"/>
    <mergeCell ref="G10:M10"/>
    <mergeCell ref="B118:B134"/>
    <mergeCell ref="C133:E133"/>
    <mergeCell ref="G133:M133"/>
    <mergeCell ref="C134:E134"/>
    <mergeCell ref="G134:M134"/>
    <mergeCell ref="B82:B98"/>
    <mergeCell ref="C98:E98"/>
    <mergeCell ref="G98:M98"/>
    <mergeCell ref="B100:B116"/>
    <mergeCell ref="C115:E115"/>
    <mergeCell ref="C116:E116"/>
    <mergeCell ref="G83:M83"/>
    <mergeCell ref="G84:M84"/>
    <mergeCell ref="G85:M85"/>
    <mergeCell ref="G86:M86"/>
    <mergeCell ref="G88:M88"/>
    <mergeCell ref="G89:M89"/>
    <mergeCell ref="G124:M124"/>
    <mergeCell ref="G125:M125"/>
    <mergeCell ref="G132:M132"/>
    <mergeCell ref="G130:M130"/>
    <mergeCell ref="G131:M131"/>
    <mergeCell ref="G128:M128"/>
    <mergeCell ref="G129:M129"/>
    <mergeCell ref="G127:M127"/>
    <mergeCell ref="G126:M126"/>
    <mergeCell ref="G123:M123"/>
    <mergeCell ref="G33:M33"/>
    <mergeCell ref="G51:M51"/>
    <mergeCell ref="G69:M69"/>
    <mergeCell ref="G87:M87"/>
    <mergeCell ref="G108:M108"/>
    <mergeCell ref="G110:M110"/>
    <mergeCell ref="G107:M107"/>
    <mergeCell ref="G109:M109"/>
    <mergeCell ref="G122:M122"/>
    <mergeCell ref="G120:M120"/>
    <mergeCell ref="G121:M121"/>
    <mergeCell ref="G113:M113"/>
    <mergeCell ref="G114:M114"/>
    <mergeCell ref="G118:M118"/>
    <mergeCell ref="G119:M119"/>
    <mergeCell ref="G115:M115"/>
    <mergeCell ref="G36:M36"/>
    <mergeCell ref="G38:M38"/>
    <mergeCell ref="G39:M39"/>
    <mergeCell ref="G40:M40"/>
    <mergeCell ref="G41:M41"/>
    <mergeCell ref="G116:M116"/>
    <mergeCell ref="G96:M96"/>
    <mergeCell ref="G100:M100"/>
    <mergeCell ref="G101:M101"/>
    <mergeCell ref="G102:M102"/>
    <mergeCell ref="G111:M111"/>
    <mergeCell ref="G112:M112"/>
    <mergeCell ref="BR4:BX4"/>
    <mergeCell ref="BY4:CE4"/>
    <mergeCell ref="G104:M104"/>
    <mergeCell ref="G106:M106"/>
    <mergeCell ref="G105:M105"/>
    <mergeCell ref="G19:M19"/>
    <mergeCell ref="G18:M18"/>
    <mergeCell ref="G20:M20"/>
    <mergeCell ref="G52:M52"/>
    <mergeCell ref="G53:M53"/>
    <mergeCell ref="G42:M42"/>
    <mergeCell ref="G28:M28"/>
    <mergeCell ref="G29:M29"/>
    <mergeCell ref="G30:M30"/>
    <mergeCell ref="G31:M31"/>
    <mergeCell ref="CM4:CS4"/>
    <mergeCell ref="CT4:CZ4"/>
    <mergeCell ref="DA4:DG4"/>
    <mergeCell ref="G4:M4"/>
    <mergeCell ref="G77:M77"/>
    <mergeCell ref="G78:M78"/>
    <mergeCell ref="G82:M82"/>
    <mergeCell ref="G103:M103"/>
    <mergeCell ref="G91:M91"/>
    <mergeCell ref="G90:M90"/>
    <mergeCell ref="G92:M92"/>
    <mergeCell ref="G93:M93"/>
    <mergeCell ref="G94:M94"/>
    <mergeCell ref="G95:M95"/>
    <mergeCell ref="G67:M67"/>
    <mergeCell ref="G80:M80"/>
    <mergeCell ref="AB2:AH2"/>
    <mergeCell ref="AP4:AV4"/>
    <mergeCell ref="AW4:BC4"/>
    <mergeCell ref="BD4:BJ4"/>
    <mergeCell ref="BK4:BQ4"/>
    <mergeCell ref="G8:M8"/>
    <mergeCell ref="G74:M74"/>
    <mergeCell ref="G75:M75"/>
    <mergeCell ref="G76:M76"/>
    <mergeCell ref="G68:M68"/>
    <mergeCell ref="G70:M70"/>
    <mergeCell ref="G71:M71"/>
    <mergeCell ref="G73:M73"/>
    <mergeCell ref="G72:M72"/>
    <mergeCell ref="G58:M58"/>
    <mergeCell ref="G59:M59"/>
    <mergeCell ref="G60:M60"/>
    <mergeCell ref="G64:M64"/>
    <mergeCell ref="G65:M65"/>
    <mergeCell ref="G66:M66"/>
    <mergeCell ref="G49:M49"/>
    <mergeCell ref="G17:M17"/>
    <mergeCell ref="G23:M23"/>
    <mergeCell ref="G24:M24"/>
    <mergeCell ref="ID4:IJ4"/>
    <mergeCell ref="IK4:IQ4"/>
    <mergeCell ref="G5:M5"/>
    <mergeCell ref="G6:M6"/>
    <mergeCell ref="G7:M7"/>
    <mergeCell ref="GN4:GT4"/>
    <mergeCell ref="GU4:HA4"/>
    <mergeCell ref="HB4:HH4"/>
    <mergeCell ref="HI4:HO4"/>
    <mergeCell ref="HP4:HV4"/>
    <mergeCell ref="HW4:IC4"/>
    <mergeCell ref="EX4:FD4"/>
    <mergeCell ref="FE4:FK4"/>
    <mergeCell ref="FL4:FR4"/>
    <mergeCell ref="FS4:FY4"/>
    <mergeCell ref="FZ4:GF4"/>
    <mergeCell ref="GG4:GM4"/>
    <mergeCell ref="DH4:DN4"/>
    <mergeCell ref="DO4:DU4"/>
    <mergeCell ref="DV4:EB4"/>
    <mergeCell ref="EC4:EI4"/>
    <mergeCell ref="EJ4:EP4"/>
    <mergeCell ref="EQ4:EW4"/>
    <mergeCell ref="CF4:CL4"/>
  </mergeCells>
  <dataValidations count="18">
    <dataValidation type="list" allowBlank="1" sqref="G127:M127 G109:M109 G91:M91 G73:M73 G55:M55 G37:M37 G19:M19">
      <formula1>$AF$61:$AF$63</formula1>
    </dataValidation>
    <dataValidation type="list" allowBlank="1" sqref="G125:M125 G107:M107 G71:M71 G53:M53 G35:M35 G17:M17 G89:M89">
      <formula1>$AF$54:$AF$59</formula1>
    </dataValidation>
    <dataValidation type="list" allowBlank="1" sqref="G123:M123 G15:M15 G33:M33 G51:M51 G69:M69 G87:M87 G105:M105">
      <formula1>$AF$39:$AF$46</formula1>
    </dataValidation>
    <dataValidation type="list" allowBlank="1" sqref="G121:M121 G31:M31 G13:M13 G85:M85 G67:M67 G49:M49 G103:M103">
      <formula1>$AF$21:$AF$29</formula1>
    </dataValidation>
    <dataValidation type="list" allowBlank="1" sqref="G132:M132 G24:M24 G60:M60 G42:M42 G78:M78 G114:M114 G96:M96">
      <formula1>$AF$102:$AF$110</formula1>
    </dataValidation>
    <dataValidation type="list" allowBlank="1" sqref="G130:M130 G22:M22 G112:M112 G94:M94 G76:M76 G58:M58 G40:M40">
      <formula1>$AF$87:$AF$92</formula1>
    </dataValidation>
    <dataValidation type="list" allowBlank="1" sqref="G56:M56 G128:M128 G38:M38 G74:M74 G92:M92 G110:M110 G20:M20">
      <formula1>$AF$72:$AF$78</formula1>
    </dataValidation>
    <dataValidation type="list" allowBlank="1" sqref="G11:M11 G29:M29 G119:M119 G47:M47 G65:M65 G83:M83 G101:M101">
      <formula1>$AF$2:$AF$10</formula1>
    </dataValidation>
    <dataValidation type="list" allowBlank="1" sqref="G120:M120 G30:M30 G12:M12 G84:M84 G66:M66 G48:M48 G102:M102">
      <formula1>$AF$13:$AF$19</formula1>
    </dataValidation>
    <dataValidation type="list" allowBlank="1" sqref="G122:M122 G14:M14 G32:M32 G50:M50 G68:M68 G86:M86 G104:M104">
      <formula1>$AF$31:$AF$37</formula1>
    </dataValidation>
    <dataValidation type="list" allowBlank="1" sqref="G124:M124 G106:M106 G88:M88 G70:M70 G52:M52 G34:M34 G16:M16">
      <formula1>$AF$48:$AF$52</formula1>
    </dataValidation>
    <dataValidation type="list" allowBlank="1" sqref="G126:M126 G36:M36 G18:M18 G54:M54 G72:M72 G90:M90 G108:M108">
      <formula1>$AF$65:$AF$70</formula1>
    </dataValidation>
    <dataValidation type="list" allowBlank="1" sqref="G129:M129 G21:M21 G111:M111 G93:M93 G75:M75 G57:M57 G39:M39">
      <formula1>$AF$80:$AF$85</formula1>
    </dataValidation>
    <dataValidation type="list" allowBlank="1" sqref="G131:M131 G23:M23 G41:M41 G59:M59 G77:M77 G95:M95 G113:M113">
      <formula1>$AF$94:$AF$99</formula1>
    </dataValidation>
    <dataValidation type="list" allowBlank="1" showInputMessage="1" sqref="G4:M4">
      <formula1>$O$4:$O$8</formula1>
    </dataValidation>
    <dataValidation type="list" allowBlank="1" showInputMessage="1" sqref="G5:M5">
      <formula1>$R$4:$R$9</formula1>
    </dataValidation>
    <dataValidation type="list" allowBlank="1" showInputMessage="1" sqref="G6:M6">
      <formula1>$T$4:$T$10</formula1>
    </dataValidation>
    <dataValidation allowBlank="1" showInputMessage="1" sqref="G7:M7"/>
  </dataValidations>
  <pageMargins left="0.39370078740157483" right="3.937007874015748E-2" top="0.98425196850393704" bottom="0.78740157480314965" header="0.39370078740157483" footer="0.39370078740157483"/>
  <pageSetup paperSize="9" scale="86" orientation="landscape" r:id="rId1"/>
  <headerFooter alignWithMargins="0">
    <oddHeader>&amp;L&amp;G</oddHeader>
    <oddFooter>&amp;L&amp;8&amp;G&amp;C&amp;6                                                &amp;D/&amp;F&amp;R&amp;7&amp;G</oddFooter>
  </headerFooter>
  <rowBreaks count="6" manualBreakCount="6">
    <brk id="27" max="16383" man="1"/>
    <brk id="45" max="16383" man="1"/>
    <brk id="63" max="16383" man="1"/>
    <brk id="81" max="16383" man="1"/>
    <brk id="99" max="16383" man="1"/>
    <brk id="117" max="16383" man="1"/>
  </rowBreaks>
  <colBreaks count="1" manualBreakCount="1">
    <brk id="23" max="117"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0" tint="-0.249977111117893"/>
  </sheetPr>
  <dimension ref="A1:R221"/>
  <sheetViews>
    <sheetView showGridLines="0" zoomScaleNormal="100" workbookViewId="0">
      <selection activeCell="D5" sqref="D5:L5"/>
    </sheetView>
  </sheetViews>
  <sheetFormatPr baseColWidth="10" defaultColWidth="8.28515625" defaultRowHeight="12" outlineLevelRow="1" outlineLevelCol="1" x14ac:dyDescent="0.2"/>
  <cols>
    <col min="1" max="1" width="2.7109375" style="385" customWidth="1"/>
    <col min="2" max="3" width="3.5703125" style="213" customWidth="1"/>
    <col min="4" max="4" width="30.7109375" style="213" customWidth="1"/>
    <col min="5" max="5" width="16.42578125" style="213" customWidth="1"/>
    <col min="6" max="6" width="12.85546875" style="213" customWidth="1"/>
    <col min="7" max="7" width="4.28515625" style="213" customWidth="1"/>
    <col min="8" max="8" width="5" style="213" customWidth="1"/>
    <col min="9" max="9" width="12.85546875" style="213" customWidth="1"/>
    <col min="10" max="10" width="5.5703125" style="213" customWidth="1"/>
    <col min="11" max="11" width="12.85546875" style="213" customWidth="1"/>
    <col min="12" max="12" width="5.5703125" style="474" customWidth="1"/>
    <col min="13" max="13" width="12.85546875" style="213" customWidth="1"/>
    <col min="14" max="14" width="5.5703125" style="474" customWidth="1"/>
    <col min="15" max="15" width="12.85546875" style="213" customWidth="1"/>
    <col min="16" max="16" width="5.5703125" style="474" customWidth="1"/>
    <col min="17" max="17" width="12.85546875" style="213" customWidth="1" outlineLevel="1"/>
    <col min="18" max="18" width="5.5703125" style="474" customWidth="1" outlineLevel="1"/>
    <col min="19" max="19" width="2.5703125" style="213" customWidth="1"/>
    <col min="20" max="16384" width="8.28515625" style="213"/>
  </cols>
  <sheetData>
    <row r="1" spans="1:18" ht="11.25" customHeight="1" x14ac:dyDescent="0.2">
      <c r="A1" s="213"/>
      <c r="B1" s="452" t="s">
        <v>78</v>
      </c>
      <c r="I1" s="638" t="s">
        <v>284</v>
      </c>
      <c r="J1" s="474"/>
      <c r="K1" s="638" t="str">
        <f>Eingabe!J1</f>
        <v>Vorprojekt</v>
      </c>
      <c r="M1" s="638" t="str">
        <f>Eingabe!K1</f>
        <v>Vorprojekt</v>
      </c>
      <c r="O1" s="638" t="str">
        <f>Eingabe!L1</f>
        <v>Bauprojekt</v>
      </c>
      <c r="Q1" s="638" t="str">
        <f>Eingabe!M1</f>
        <v>Schluss-</v>
      </c>
    </row>
    <row r="2" spans="1:18" ht="11.25" customHeight="1" x14ac:dyDescent="0.2">
      <c r="A2" s="213"/>
      <c r="B2" s="385">
        <f>Eingabe!G4</f>
        <v>0</v>
      </c>
      <c r="C2" s="385"/>
      <c r="D2" s="385"/>
      <c r="E2" s="385"/>
      <c r="F2" s="385"/>
      <c r="G2" s="385"/>
      <c r="H2" s="385"/>
      <c r="I2" s="385" t="s">
        <v>286</v>
      </c>
      <c r="J2" s="642"/>
      <c r="K2" s="385" t="str">
        <f>Eingabe!J2</f>
        <v>KGS</v>
      </c>
      <c r="L2" s="642"/>
      <c r="M2" s="385" t="str">
        <f>Eingabe!K2</f>
        <v>KS</v>
      </c>
      <c r="N2" s="642"/>
      <c r="O2" s="385" t="str">
        <f>Eingabe!L2</f>
        <v>KV</v>
      </c>
      <c r="P2" s="642"/>
      <c r="Q2" s="385" t="str">
        <f>Eingabe!M2</f>
        <v>abrechnung</v>
      </c>
      <c r="R2" s="642"/>
    </row>
    <row r="3" spans="1:18" ht="11.25" customHeight="1" x14ac:dyDescent="0.2">
      <c r="A3" s="213"/>
      <c r="B3" s="385"/>
      <c r="C3" s="385"/>
      <c r="D3" s="385"/>
      <c r="E3" s="385"/>
      <c r="F3" s="385"/>
      <c r="G3" s="661" t="s">
        <v>141</v>
      </c>
      <c r="H3" s="385"/>
      <c r="I3" s="642">
        <f>Eingabe!I3</f>
        <v>0</v>
      </c>
      <c r="J3" s="642"/>
      <c r="K3" s="642">
        <f>Eingabe!J3</f>
        <v>0</v>
      </c>
      <c r="L3" s="642"/>
      <c r="M3" s="642">
        <f>Eingabe!K3</f>
        <v>0</v>
      </c>
      <c r="N3" s="642"/>
      <c r="O3" s="642">
        <f>Eingabe!L3</f>
        <v>0</v>
      </c>
      <c r="P3" s="642"/>
      <c r="Q3" s="642">
        <f>Eingabe!M3</f>
        <v>0</v>
      </c>
      <c r="R3" s="642"/>
    </row>
    <row r="4" spans="1:18" ht="11.25" customHeight="1" thickBot="1" x14ac:dyDescent="0.25">
      <c r="A4" s="213"/>
      <c r="B4" s="591" t="s">
        <v>71</v>
      </c>
      <c r="C4" s="592"/>
      <c r="D4" s="591"/>
      <c r="E4" s="591"/>
      <c r="F4" s="591"/>
      <c r="G4" s="721" t="s">
        <v>115</v>
      </c>
      <c r="H4" s="585"/>
      <c r="I4" s="718">
        <f>B8_04_3KOIN</f>
        <v>0</v>
      </c>
      <c r="J4" s="719">
        <v>1</v>
      </c>
      <c r="K4" s="718">
        <f>B8_04_4KOIN</f>
        <v>0</v>
      </c>
      <c r="L4" s="720"/>
      <c r="M4" s="718">
        <f>B8_04_5KOIN</f>
        <v>0</v>
      </c>
      <c r="N4" s="720"/>
      <c r="O4" s="718">
        <f>B8_04_6KOIN</f>
        <v>0</v>
      </c>
      <c r="P4" s="720"/>
      <c r="Q4" s="718">
        <f>B8_04_7KOIN</f>
        <v>0</v>
      </c>
      <c r="R4" s="720"/>
    </row>
    <row r="5" spans="1:18" ht="15.75" hidden="1" customHeight="1" x14ac:dyDescent="0.2">
      <c r="A5" s="213"/>
      <c r="B5" s="452"/>
      <c r="D5" s="452"/>
      <c r="E5" s="452"/>
      <c r="F5" s="452"/>
      <c r="G5" s="546"/>
      <c r="H5" s="546"/>
      <c r="I5" s="648" t="str">
        <f>MID(I4,7,7)</f>
        <v/>
      </c>
      <c r="K5" s="648" t="str">
        <f>MID(K4,7,7)</f>
        <v/>
      </c>
      <c r="M5" s="648" t="str">
        <f>MID(M4,7,7)</f>
        <v/>
      </c>
      <c r="O5" s="648" t="str">
        <f>MID(O4,7,7)</f>
        <v/>
      </c>
      <c r="Q5" s="648" t="str">
        <f>MID(Q4,7,7)</f>
        <v/>
      </c>
    </row>
    <row r="6" spans="1:18" ht="11.25" customHeight="1" x14ac:dyDescent="0.2">
      <c r="A6" s="213"/>
      <c r="B6" s="678" t="s">
        <v>18</v>
      </c>
      <c r="C6" s="667"/>
      <c r="D6" s="667" t="s">
        <v>1</v>
      </c>
      <c r="E6" s="667"/>
      <c r="F6" s="667"/>
      <c r="G6" s="667"/>
      <c r="H6" s="568" t="s">
        <v>2</v>
      </c>
      <c r="I6" s="568" t="s">
        <v>28</v>
      </c>
      <c r="J6" s="568"/>
      <c r="K6" s="568" t="s">
        <v>28</v>
      </c>
      <c r="L6" s="668"/>
      <c r="M6" s="568" t="s">
        <v>28</v>
      </c>
      <c r="N6" s="668"/>
      <c r="O6" s="568" t="s">
        <v>28</v>
      </c>
      <c r="P6" s="668"/>
      <c r="Q6" s="568" t="s">
        <v>28</v>
      </c>
      <c r="R6" s="668"/>
    </row>
    <row r="7" spans="1:18" x14ac:dyDescent="0.2">
      <c r="A7" s="213"/>
      <c r="B7" s="638">
        <v>0</v>
      </c>
      <c r="D7" s="213" t="s">
        <v>345</v>
      </c>
      <c r="H7" s="567" t="s">
        <v>19</v>
      </c>
      <c r="I7" s="682">
        <f>Eingabe!I82</f>
        <v>0</v>
      </c>
      <c r="J7" s="683" t="str">
        <f>IF(I7=0," ",I7/$I$30)</f>
        <v xml:space="preserve"> </v>
      </c>
      <c r="K7" s="682">
        <f>Eingabe!J82</f>
        <v>0</v>
      </c>
      <c r="L7" s="683" t="str">
        <f>IF(K7=0," ",K7/$K$30)</f>
        <v xml:space="preserve"> </v>
      </c>
      <c r="M7" s="682">
        <f>Eingabe!K82</f>
        <v>0</v>
      </c>
      <c r="N7" s="683" t="str">
        <f>IF(M7=0," ",M7/$M$30)</f>
        <v xml:space="preserve"> </v>
      </c>
      <c r="O7" s="682">
        <f>Eingabe!L82</f>
        <v>0</v>
      </c>
      <c r="P7" s="683" t="str">
        <f>IF(O7=0," ",O7/$O$30)</f>
        <v xml:space="preserve"> </v>
      </c>
      <c r="Q7" s="682">
        <f>Eingabe!M82</f>
        <v>0</v>
      </c>
      <c r="R7" s="683" t="str">
        <f>IF(Q7=0," ",Q7/$Q$30)</f>
        <v xml:space="preserve"> </v>
      </c>
    </row>
    <row r="8" spans="1:18" ht="11.25" customHeight="1" x14ac:dyDescent="0.2">
      <c r="A8" s="213"/>
      <c r="B8" s="612">
        <v>1</v>
      </c>
      <c r="C8" s="612"/>
      <c r="D8" s="611" t="s">
        <v>548</v>
      </c>
      <c r="E8" s="611"/>
      <c r="F8" s="611"/>
      <c r="G8" s="731" t="s">
        <v>0</v>
      </c>
      <c r="H8" s="567" t="s">
        <v>19</v>
      </c>
      <c r="I8" s="682">
        <f>Eingabe!I59</f>
        <v>0</v>
      </c>
      <c r="J8" s="683" t="str">
        <f t="shared" ref="J8:J32" si="0">IF(I8=0," ",I8/$I$30)</f>
        <v xml:space="preserve"> </v>
      </c>
      <c r="K8" s="682">
        <f>Eingabe!J59</f>
        <v>0</v>
      </c>
      <c r="L8" s="683" t="str">
        <f t="shared" ref="L8:L32" si="1">IF(K8=0," ",K8/$K$30)</f>
        <v xml:space="preserve"> </v>
      </c>
      <c r="M8" s="682">
        <f>Eingabe!K59</f>
        <v>0</v>
      </c>
      <c r="N8" s="683" t="str">
        <f t="shared" ref="N8:N32" si="2">IF(M8=0," ",M8/$M$30)</f>
        <v xml:space="preserve"> </v>
      </c>
      <c r="O8" s="682">
        <f>Eingabe!L59</f>
        <v>0</v>
      </c>
      <c r="P8" s="683" t="str">
        <f t="shared" ref="P8:P32" si="3">IF(O8=0," ",O8/$O$30)</f>
        <v xml:space="preserve"> </v>
      </c>
      <c r="Q8" s="682">
        <f>Eingabe!M59</f>
        <v>0</v>
      </c>
      <c r="R8" s="683" t="str">
        <f t="shared" ref="R8:R30" si="4">IF(Q8=0," ",Q8/$Q$30)</f>
        <v xml:space="preserve"> </v>
      </c>
    </row>
    <row r="9" spans="1:18" ht="11.25" customHeight="1" x14ac:dyDescent="0.2">
      <c r="A9" s="213"/>
      <c r="B9" s="678">
        <v>1</v>
      </c>
      <c r="C9" s="678"/>
      <c r="D9" s="667" t="s">
        <v>544</v>
      </c>
      <c r="E9" s="667"/>
      <c r="F9" s="667"/>
      <c r="G9" s="611" t="s">
        <v>0</v>
      </c>
      <c r="H9" s="567" t="s">
        <v>19</v>
      </c>
      <c r="I9" s="682">
        <f>Eingabe!I60</f>
        <v>0</v>
      </c>
      <c r="J9" s="683" t="str">
        <f t="shared" si="0"/>
        <v xml:space="preserve"> </v>
      </c>
      <c r="K9" s="682">
        <f>Eingabe!J60</f>
        <v>0</v>
      </c>
      <c r="L9" s="683" t="str">
        <f t="shared" si="1"/>
        <v xml:space="preserve"> </v>
      </c>
      <c r="M9" s="682">
        <f>Eingabe!K60</f>
        <v>0</v>
      </c>
      <c r="N9" s="683" t="str">
        <f t="shared" si="2"/>
        <v xml:space="preserve"> </v>
      </c>
      <c r="O9" s="682">
        <f>Eingabe!L60</f>
        <v>0</v>
      </c>
      <c r="P9" s="683" t="str">
        <f t="shared" si="3"/>
        <v xml:space="preserve"> </v>
      </c>
      <c r="Q9" s="682">
        <f>Eingabe!M60</f>
        <v>0</v>
      </c>
      <c r="R9" s="683" t="str">
        <f t="shared" si="4"/>
        <v xml:space="preserve"> </v>
      </c>
    </row>
    <row r="10" spans="1:18" ht="11.25" customHeight="1" thickBot="1" x14ac:dyDescent="0.25">
      <c r="A10" s="213"/>
      <c r="B10" s="702">
        <v>2</v>
      </c>
      <c r="C10" s="702"/>
      <c r="D10" s="703" t="s">
        <v>21</v>
      </c>
      <c r="E10" s="703"/>
      <c r="F10" s="703"/>
      <c r="G10" s="745" t="s">
        <v>0</v>
      </c>
      <c r="H10" s="704" t="s">
        <v>19</v>
      </c>
      <c r="I10" s="705">
        <f>Eingabe!I61</f>
        <v>0</v>
      </c>
      <c r="J10" s="706" t="str">
        <f t="shared" si="0"/>
        <v xml:space="preserve"> </v>
      </c>
      <c r="K10" s="705">
        <f>B8_04_4GEDE</f>
        <v>0</v>
      </c>
      <c r="L10" s="706" t="str">
        <f t="shared" si="1"/>
        <v xml:space="preserve"> </v>
      </c>
      <c r="M10" s="705">
        <f>SUM(M11:M24)</f>
        <v>0</v>
      </c>
      <c r="N10" s="706" t="str">
        <f t="shared" si="2"/>
        <v xml:space="preserve"> </v>
      </c>
      <c r="O10" s="705">
        <f>SUM(O11:O24)</f>
        <v>0</v>
      </c>
      <c r="P10" s="706" t="str">
        <f t="shared" si="3"/>
        <v xml:space="preserve"> </v>
      </c>
      <c r="Q10" s="705">
        <f>SUM(Q11:Q24)</f>
        <v>0</v>
      </c>
      <c r="R10" s="706" t="str">
        <f t="shared" si="4"/>
        <v xml:space="preserve"> </v>
      </c>
    </row>
    <row r="11" spans="1:18" ht="11.25" customHeight="1" x14ac:dyDescent="0.2">
      <c r="A11" s="213"/>
      <c r="B11" s="650"/>
      <c r="C11" s="651">
        <v>20</v>
      </c>
      <c r="D11" s="97" t="s">
        <v>29</v>
      </c>
      <c r="E11" s="930"/>
      <c r="F11" s="652"/>
      <c r="G11" s="611" t="s">
        <v>0</v>
      </c>
      <c r="H11" s="674" t="s">
        <v>19</v>
      </c>
      <c r="I11" s="750"/>
      <c r="J11" s="751" t="str">
        <f t="shared" si="0"/>
        <v xml:space="preserve"> </v>
      </c>
      <c r="K11" s="750"/>
      <c r="L11" s="751" t="str">
        <f t="shared" si="1"/>
        <v xml:space="preserve"> </v>
      </c>
      <c r="M11" s="596">
        <f>Eingabe!K62</f>
        <v>0</v>
      </c>
      <c r="N11" s="677" t="str">
        <f t="shared" si="2"/>
        <v xml:space="preserve"> </v>
      </c>
      <c r="O11" s="596">
        <f>Eingabe!L62</f>
        <v>0</v>
      </c>
      <c r="P11" s="677" t="str">
        <f t="shared" si="3"/>
        <v xml:space="preserve"> </v>
      </c>
      <c r="Q11" s="596">
        <f>Eingabe!M62</f>
        <v>0</v>
      </c>
      <c r="R11" s="677" t="str">
        <f t="shared" si="4"/>
        <v xml:space="preserve"> </v>
      </c>
    </row>
    <row r="12" spans="1:18" ht="11.25" customHeight="1" x14ac:dyDescent="0.2">
      <c r="A12" s="213"/>
      <c r="B12" s="649"/>
      <c r="C12" s="612">
        <v>21</v>
      </c>
      <c r="D12" s="97" t="s">
        <v>30</v>
      </c>
      <c r="E12" s="930"/>
      <c r="F12" s="652"/>
      <c r="G12" s="731" t="s">
        <v>0</v>
      </c>
      <c r="H12" s="567" t="s">
        <v>19</v>
      </c>
      <c r="I12" s="752"/>
      <c r="J12" s="753" t="str">
        <f t="shared" si="0"/>
        <v xml:space="preserve"> </v>
      </c>
      <c r="K12" s="752"/>
      <c r="L12" s="753" t="str">
        <f t="shared" si="1"/>
        <v xml:space="preserve"> </v>
      </c>
      <c r="M12" s="566">
        <f>Eingabe!K63</f>
        <v>0</v>
      </c>
      <c r="N12" s="683" t="str">
        <f t="shared" si="2"/>
        <v xml:space="preserve"> </v>
      </c>
      <c r="O12" s="566">
        <f>Eingabe!L63</f>
        <v>0</v>
      </c>
      <c r="P12" s="683" t="str">
        <f t="shared" si="3"/>
        <v xml:space="preserve"> </v>
      </c>
      <c r="Q12" s="566">
        <f>Eingabe!M63</f>
        <v>0</v>
      </c>
      <c r="R12" s="683" t="str">
        <f t="shared" si="4"/>
        <v xml:space="preserve"> </v>
      </c>
    </row>
    <row r="13" spans="1:18" ht="11.25" customHeight="1" x14ac:dyDescent="0.2">
      <c r="A13" s="213"/>
      <c r="B13" s="649"/>
      <c r="C13" s="612">
        <v>22</v>
      </c>
      <c r="D13" s="97" t="s">
        <v>31</v>
      </c>
      <c r="E13" s="930"/>
      <c r="F13" s="652"/>
      <c r="G13" s="731" t="s">
        <v>0</v>
      </c>
      <c r="H13" s="567" t="s">
        <v>19</v>
      </c>
      <c r="I13" s="752"/>
      <c r="J13" s="753" t="str">
        <f t="shared" si="0"/>
        <v xml:space="preserve"> </v>
      </c>
      <c r="K13" s="752"/>
      <c r="L13" s="753" t="str">
        <f t="shared" si="1"/>
        <v xml:space="preserve"> </v>
      </c>
      <c r="M13" s="566">
        <f>Eingabe!K64</f>
        <v>0</v>
      </c>
      <c r="N13" s="683" t="str">
        <f t="shared" si="2"/>
        <v xml:space="preserve"> </v>
      </c>
      <c r="O13" s="566">
        <f>Eingabe!L64</f>
        <v>0</v>
      </c>
      <c r="P13" s="683" t="str">
        <f t="shared" si="3"/>
        <v xml:space="preserve"> </v>
      </c>
      <c r="Q13" s="566">
        <f>Eingabe!M64</f>
        <v>0</v>
      </c>
      <c r="R13" s="683" t="str">
        <f t="shared" si="4"/>
        <v xml:space="preserve"> </v>
      </c>
    </row>
    <row r="14" spans="1:18" ht="11.25" customHeight="1" x14ac:dyDescent="0.2">
      <c r="A14" s="213"/>
      <c r="B14" s="649"/>
      <c r="C14" s="612">
        <v>23</v>
      </c>
      <c r="D14" s="97" t="s">
        <v>32</v>
      </c>
      <c r="E14" s="930"/>
      <c r="F14" s="652"/>
      <c r="G14" s="731" t="s">
        <v>0</v>
      </c>
      <c r="H14" s="567" t="s">
        <v>19</v>
      </c>
      <c r="I14" s="752"/>
      <c r="J14" s="753" t="str">
        <f t="shared" si="0"/>
        <v xml:space="preserve"> </v>
      </c>
      <c r="K14" s="752"/>
      <c r="L14" s="753" t="str">
        <f t="shared" si="1"/>
        <v xml:space="preserve"> </v>
      </c>
      <c r="M14" s="566">
        <f>Eingabe!K65</f>
        <v>0</v>
      </c>
      <c r="N14" s="683" t="str">
        <f t="shared" si="2"/>
        <v xml:space="preserve"> </v>
      </c>
      <c r="O14" s="566">
        <f>Eingabe!L65</f>
        <v>0</v>
      </c>
      <c r="P14" s="683" t="str">
        <f t="shared" si="3"/>
        <v xml:space="preserve"> </v>
      </c>
      <c r="Q14" s="566">
        <f>Eingabe!M65</f>
        <v>0</v>
      </c>
      <c r="R14" s="683" t="str">
        <f t="shared" si="4"/>
        <v xml:space="preserve"> </v>
      </c>
    </row>
    <row r="15" spans="1:18" ht="11.25" customHeight="1" x14ac:dyDescent="0.2">
      <c r="A15" s="213"/>
      <c r="B15" s="649"/>
      <c r="C15" s="612">
        <v>24</v>
      </c>
      <c r="D15" s="97" t="s">
        <v>191</v>
      </c>
      <c r="E15" s="930"/>
      <c r="F15" s="652"/>
      <c r="G15" s="731" t="s">
        <v>0</v>
      </c>
      <c r="H15" s="567" t="s">
        <v>19</v>
      </c>
      <c r="I15" s="752"/>
      <c r="J15" s="753" t="str">
        <f t="shared" si="0"/>
        <v xml:space="preserve"> </v>
      </c>
      <c r="K15" s="752"/>
      <c r="L15" s="753" t="str">
        <f t="shared" si="1"/>
        <v xml:space="preserve"> </v>
      </c>
      <c r="M15" s="566">
        <f>Eingabe!K66</f>
        <v>0</v>
      </c>
      <c r="N15" s="683" t="str">
        <f t="shared" si="2"/>
        <v xml:space="preserve"> </v>
      </c>
      <c r="O15" s="566">
        <f>Eingabe!L66</f>
        <v>0</v>
      </c>
      <c r="P15" s="683" t="str">
        <f t="shared" si="3"/>
        <v xml:space="preserve"> </v>
      </c>
      <c r="Q15" s="566">
        <f>Eingabe!M66</f>
        <v>0</v>
      </c>
      <c r="R15" s="683" t="str">
        <f t="shared" si="4"/>
        <v xml:space="preserve"> </v>
      </c>
    </row>
    <row r="16" spans="1:18" ht="11.25" customHeight="1" x14ac:dyDescent="0.2">
      <c r="A16" s="213"/>
      <c r="B16" s="649"/>
      <c r="C16" s="612">
        <v>24</v>
      </c>
      <c r="D16" s="97" t="s">
        <v>192</v>
      </c>
      <c r="E16" s="930"/>
      <c r="F16" s="652"/>
      <c r="G16" s="611" t="s">
        <v>0</v>
      </c>
      <c r="H16" s="567" t="s">
        <v>19</v>
      </c>
      <c r="I16" s="752"/>
      <c r="J16" s="753" t="str">
        <f t="shared" si="0"/>
        <v xml:space="preserve"> </v>
      </c>
      <c r="K16" s="752"/>
      <c r="L16" s="753" t="str">
        <f t="shared" si="1"/>
        <v xml:space="preserve"> </v>
      </c>
      <c r="M16" s="566">
        <f>Eingabe!K67</f>
        <v>0</v>
      </c>
      <c r="N16" s="683" t="str">
        <f t="shared" si="2"/>
        <v xml:space="preserve"> </v>
      </c>
      <c r="O16" s="566">
        <f>Eingabe!L67</f>
        <v>0</v>
      </c>
      <c r="P16" s="683" t="str">
        <f t="shared" si="3"/>
        <v xml:space="preserve"> </v>
      </c>
      <c r="Q16" s="566">
        <f>Eingabe!M67</f>
        <v>0</v>
      </c>
      <c r="R16" s="683" t="str">
        <f t="shared" si="4"/>
        <v xml:space="preserve"> </v>
      </c>
    </row>
    <row r="17" spans="1:18" ht="11.25" customHeight="1" x14ac:dyDescent="0.2">
      <c r="A17" s="213"/>
      <c r="B17" s="649"/>
      <c r="C17" s="612">
        <v>24</v>
      </c>
      <c r="D17" s="97" t="s">
        <v>193</v>
      </c>
      <c r="E17" s="930"/>
      <c r="F17" s="652"/>
      <c r="G17" s="731" t="s">
        <v>0</v>
      </c>
      <c r="H17" s="567" t="s">
        <v>19</v>
      </c>
      <c r="I17" s="752"/>
      <c r="J17" s="753" t="str">
        <f t="shared" si="0"/>
        <v xml:space="preserve"> </v>
      </c>
      <c r="K17" s="752"/>
      <c r="L17" s="753" t="str">
        <f t="shared" si="1"/>
        <v xml:space="preserve"> </v>
      </c>
      <c r="M17" s="566">
        <f>Eingabe!K68</f>
        <v>0</v>
      </c>
      <c r="N17" s="683" t="str">
        <f t="shared" si="2"/>
        <v xml:space="preserve"> </v>
      </c>
      <c r="O17" s="566">
        <f>Eingabe!L68</f>
        <v>0</v>
      </c>
      <c r="P17" s="683" t="str">
        <f t="shared" si="3"/>
        <v xml:space="preserve"> </v>
      </c>
      <c r="Q17" s="566">
        <f>Eingabe!M68</f>
        <v>0</v>
      </c>
      <c r="R17" s="683" t="str">
        <f t="shared" si="4"/>
        <v xml:space="preserve"> </v>
      </c>
    </row>
    <row r="18" spans="1:18" ht="11.25" customHeight="1" x14ac:dyDescent="0.2">
      <c r="B18" s="649"/>
      <c r="C18" s="612">
        <v>25</v>
      </c>
      <c r="D18" s="97" t="s">
        <v>194</v>
      </c>
      <c r="E18" s="930"/>
      <c r="F18" s="652"/>
      <c r="G18" s="731" t="s">
        <v>0</v>
      </c>
      <c r="H18" s="567" t="s">
        <v>19</v>
      </c>
      <c r="I18" s="752"/>
      <c r="J18" s="753" t="str">
        <f t="shared" si="0"/>
        <v xml:space="preserve"> </v>
      </c>
      <c r="K18" s="752"/>
      <c r="L18" s="753" t="str">
        <f t="shared" si="1"/>
        <v xml:space="preserve"> </v>
      </c>
      <c r="M18" s="566">
        <f>Eingabe!K69</f>
        <v>0</v>
      </c>
      <c r="N18" s="683" t="str">
        <f t="shared" si="2"/>
        <v xml:space="preserve"> </v>
      </c>
      <c r="O18" s="566">
        <f>Eingabe!L69</f>
        <v>0</v>
      </c>
      <c r="P18" s="683" t="str">
        <f t="shared" si="3"/>
        <v xml:space="preserve"> </v>
      </c>
      <c r="Q18" s="566">
        <f>Eingabe!M69</f>
        <v>0</v>
      </c>
      <c r="R18" s="683" t="str">
        <f t="shared" si="4"/>
        <v xml:space="preserve"> </v>
      </c>
    </row>
    <row r="19" spans="1:18" ht="11.25" customHeight="1" x14ac:dyDescent="0.2">
      <c r="B19" s="649"/>
      <c r="C19" s="612">
        <v>24</v>
      </c>
      <c r="D19" s="97" t="s">
        <v>411</v>
      </c>
      <c r="E19" s="930"/>
      <c r="F19" s="652"/>
      <c r="G19" s="731" t="s">
        <v>0</v>
      </c>
      <c r="H19" s="567" t="s">
        <v>19</v>
      </c>
      <c r="I19" s="752"/>
      <c r="J19" s="753" t="str">
        <f t="shared" si="0"/>
        <v xml:space="preserve"> </v>
      </c>
      <c r="K19" s="752"/>
      <c r="L19" s="753" t="str">
        <f t="shared" si="1"/>
        <v xml:space="preserve"> </v>
      </c>
      <c r="M19" s="566">
        <f>Eingabe!K70</f>
        <v>0</v>
      </c>
      <c r="N19" s="683" t="str">
        <f t="shared" si="2"/>
        <v xml:space="preserve"> </v>
      </c>
      <c r="O19" s="566">
        <f>Eingabe!L70</f>
        <v>0</v>
      </c>
      <c r="P19" s="683" t="str">
        <f t="shared" si="3"/>
        <v xml:space="preserve"> </v>
      </c>
      <c r="Q19" s="566">
        <f>Eingabe!M70</f>
        <v>0</v>
      </c>
      <c r="R19" s="683" t="str">
        <f t="shared" si="4"/>
        <v xml:space="preserve"> </v>
      </c>
    </row>
    <row r="20" spans="1:18" ht="11.25" customHeight="1" x14ac:dyDescent="0.2">
      <c r="B20" s="649"/>
      <c r="C20" s="612">
        <v>25</v>
      </c>
      <c r="D20" s="97" t="s">
        <v>195</v>
      </c>
      <c r="E20" s="930"/>
      <c r="F20" s="652"/>
      <c r="G20" s="731" t="s">
        <v>0</v>
      </c>
      <c r="H20" s="567" t="s">
        <v>19</v>
      </c>
      <c r="I20" s="752"/>
      <c r="J20" s="753" t="str">
        <f t="shared" si="0"/>
        <v xml:space="preserve"> </v>
      </c>
      <c r="K20" s="752"/>
      <c r="L20" s="753" t="str">
        <f t="shared" si="1"/>
        <v xml:space="preserve"> </v>
      </c>
      <c r="M20" s="566">
        <f>Eingabe!K71</f>
        <v>0</v>
      </c>
      <c r="N20" s="683" t="str">
        <f t="shared" si="2"/>
        <v xml:space="preserve"> </v>
      </c>
      <c r="O20" s="566">
        <f>Eingabe!L71</f>
        <v>0</v>
      </c>
      <c r="P20" s="683" t="str">
        <f t="shared" si="3"/>
        <v xml:space="preserve"> </v>
      </c>
      <c r="Q20" s="566">
        <f>Eingabe!M71</f>
        <v>0</v>
      </c>
      <c r="R20" s="683" t="str">
        <f t="shared" si="4"/>
        <v xml:space="preserve"> </v>
      </c>
    </row>
    <row r="21" spans="1:18" ht="12" customHeight="1" x14ac:dyDescent="0.2">
      <c r="B21" s="650"/>
      <c r="C21" s="651">
        <v>26</v>
      </c>
      <c r="D21" s="97" t="s">
        <v>27</v>
      </c>
      <c r="E21" s="930"/>
      <c r="F21" s="652"/>
      <c r="G21" s="731" t="s">
        <v>0</v>
      </c>
      <c r="H21" s="567" t="s">
        <v>19</v>
      </c>
      <c r="I21" s="752"/>
      <c r="J21" s="753" t="str">
        <f t="shared" si="0"/>
        <v xml:space="preserve"> </v>
      </c>
      <c r="K21" s="752"/>
      <c r="L21" s="753" t="str">
        <f t="shared" si="1"/>
        <v xml:space="preserve"> </v>
      </c>
      <c r="M21" s="566">
        <f>Eingabe!K72</f>
        <v>0</v>
      </c>
      <c r="N21" s="683" t="str">
        <f t="shared" si="2"/>
        <v xml:space="preserve"> </v>
      </c>
      <c r="O21" s="566">
        <f>Eingabe!L72</f>
        <v>0</v>
      </c>
      <c r="P21" s="683" t="str">
        <f t="shared" si="3"/>
        <v xml:space="preserve"> </v>
      </c>
      <c r="Q21" s="566">
        <f>Eingabe!M72</f>
        <v>0</v>
      </c>
      <c r="R21" s="683" t="str">
        <f t="shared" si="4"/>
        <v xml:space="preserve"> </v>
      </c>
    </row>
    <row r="22" spans="1:18" ht="12" customHeight="1" x14ac:dyDescent="0.2">
      <c r="B22" s="650"/>
      <c r="C22" s="651">
        <v>27</v>
      </c>
      <c r="D22" s="97" t="s">
        <v>33</v>
      </c>
      <c r="E22" s="930"/>
      <c r="F22" s="652"/>
      <c r="G22" s="611" t="s">
        <v>0</v>
      </c>
      <c r="H22" s="567" t="s">
        <v>19</v>
      </c>
      <c r="I22" s="752"/>
      <c r="J22" s="753" t="str">
        <f t="shared" si="0"/>
        <v xml:space="preserve"> </v>
      </c>
      <c r="K22" s="752"/>
      <c r="L22" s="753" t="str">
        <f t="shared" si="1"/>
        <v xml:space="preserve"> </v>
      </c>
      <c r="M22" s="566">
        <f>Eingabe!K73</f>
        <v>0</v>
      </c>
      <c r="N22" s="683" t="str">
        <f t="shared" si="2"/>
        <v xml:space="preserve"> </v>
      </c>
      <c r="O22" s="566">
        <f>Eingabe!L73</f>
        <v>0</v>
      </c>
      <c r="P22" s="683" t="str">
        <f t="shared" si="3"/>
        <v xml:space="preserve"> </v>
      </c>
      <c r="Q22" s="566">
        <f>Eingabe!M73</f>
        <v>0</v>
      </c>
      <c r="R22" s="683" t="str">
        <f t="shared" si="4"/>
        <v xml:space="preserve"> </v>
      </c>
    </row>
    <row r="23" spans="1:18" ht="12" customHeight="1" x14ac:dyDescent="0.2">
      <c r="B23" s="649"/>
      <c r="C23" s="612">
        <v>28</v>
      </c>
      <c r="D23" s="97" t="s">
        <v>34</v>
      </c>
      <c r="E23" s="930"/>
      <c r="F23" s="652"/>
      <c r="G23" s="731" t="s">
        <v>0</v>
      </c>
      <c r="H23" s="567" t="s">
        <v>19</v>
      </c>
      <c r="I23" s="752"/>
      <c r="J23" s="753" t="str">
        <f t="shared" si="0"/>
        <v xml:space="preserve"> </v>
      </c>
      <c r="K23" s="752"/>
      <c r="L23" s="753" t="str">
        <f t="shared" si="1"/>
        <v xml:space="preserve"> </v>
      </c>
      <c r="M23" s="566">
        <f>Eingabe!K74</f>
        <v>0</v>
      </c>
      <c r="N23" s="683" t="str">
        <f t="shared" si="2"/>
        <v xml:space="preserve"> </v>
      </c>
      <c r="O23" s="566">
        <f>Eingabe!L74</f>
        <v>0</v>
      </c>
      <c r="P23" s="683" t="str">
        <f t="shared" si="3"/>
        <v xml:space="preserve"> </v>
      </c>
      <c r="Q23" s="566">
        <f>Eingabe!M74</f>
        <v>0</v>
      </c>
      <c r="R23" s="683" t="str">
        <f t="shared" si="4"/>
        <v xml:space="preserve"> </v>
      </c>
    </row>
    <row r="24" spans="1:18" ht="12" customHeight="1" thickBot="1" x14ac:dyDescent="0.25">
      <c r="B24" s="669"/>
      <c r="C24" s="670">
        <v>29</v>
      </c>
      <c r="D24" s="672" t="s">
        <v>550</v>
      </c>
      <c r="E24" s="931"/>
      <c r="F24" s="673"/>
      <c r="G24" s="744" t="s">
        <v>0</v>
      </c>
      <c r="H24" s="592" t="s">
        <v>19</v>
      </c>
      <c r="I24" s="754"/>
      <c r="J24" s="755" t="str">
        <f t="shared" si="0"/>
        <v xml:space="preserve"> </v>
      </c>
      <c r="K24" s="754"/>
      <c r="L24" s="755" t="str">
        <f t="shared" si="1"/>
        <v xml:space="preserve"> </v>
      </c>
      <c r="M24" s="587">
        <f>Eingabe!K75</f>
        <v>0</v>
      </c>
      <c r="N24" s="671" t="str">
        <f t="shared" si="2"/>
        <v xml:space="preserve"> </v>
      </c>
      <c r="O24" s="587">
        <f>Eingabe!L75</f>
        <v>0</v>
      </c>
      <c r="P24" s="671" t="str">
        <f t="shared" si="3"/>
        <v xml:space="preserve"> </v>
      </c>
      <c r="Q24" s="587">
        <f>Eingabe!M75</f>
        <v>0</v>
      </c>
      <c r="R24" s="671" t="str">
        <f t="shared" si="4"/>
        <v xml:space="preserve"> </v>
      </c>
    </row>
    <row r="25" spans="1:18" ht="11.25" customHeight="1" x14ac:dyDescent="0.2">
      <c r="B25" s="612">
        <v>3</v>
      </c>
      <c r="C25" s="612"/>
      <c r="D25" s="611" t="s">
        <v>545</v>
      </c>
      <c r="E25" s="611"/>
      <c r="F25" s="611"/>
      <c r="G25" s="611" t="s">
        <v>0</v>
      </c>
      <c r="H25" s="674" t="s">
        <v>19</v>
      </c>
      <c r="I25" s="675">
        <f>Eingabe!I76</f>
        <v>0</v>
      </c>
      <c r="J25" s="677" t="str">
        <f t="shared" si="0"/>
        <v xml:space="preserve"> </v>
      </c>
      <c r="K25" s="675">
        <f>Eingabe!J76</f>
        <v>0</v>
      </c>
      <c r="L25" s="677" t="str">
        <f t="shared" si="1"/>
        <v xml:space="preserve"> </v>
      </c>
      <c r="M25" s="675">
        <f>Eingabe!K76</f>
        <v>0</v>
      </c>
      <c r="N25" s="677" t="str">
        <f t="shared" si="2"/>
        <v xml:space="preserve"> </v>
      </c>
      <c r="O25" s="675">
        <f>Eingabe!L76</f>
        <v>0</v>
      </c>
      <c r="P25" s="677" t="str">
        <f t="shared" si="3"/>
        <v xml:space="preserve"> </v>
      </c>
      <c r="Q25" s="675">
        <f>Eingabe!M76</f>
        <v>0</v>
      </c>
      <c r="R25" s="677" t="str">
        <f t="shared" si="4"/>
        <v xml:space="preserve"> </v>
      </c>
    </row>
    <row r="26" spans="1:18" ht="11.25" customHeight="1" x14ac:dyDescent="0.2">
      <c r="B26" s="612">
        <v>4</v>
      </c>
      <c r="C26" s="612"/>
      <c r="D26" s="611" t="s">
        <v>546</v>
      </c>
      <c r="E26" s="611"/>
      <c r="F26" s="611"/>
      <c r="G26" s="731"/>
      <c r="H26" s="567" t="s">
        <v>19</v>
      </c>
      <c r="I26" s="682">
        <f>Eingabe!I77</f>
        <v>0</v>
      </c>
      <c r="J26" s="683" t="str">
        <f t="shared" si="0"/>
        <v xml:space="preserve"> </v>
      </c>
      <c r="K26" s="682">
        <f>Eingabe!J77</f>
        <v>0</v>
      </c>
      <c r="L26" s="683" t="str">
        <f t="shared" si="1"/>
        <v xml:space="preserve"> </v>
      </c>
      <c r="M26" s="682">
        <f>Eingabe!K77</f>
        <v>0</v>
      </c>
      <c r="N26" s="683" t="str">
        <f t="shared" si="2"/>
        <v xml:space="preserve"> </v>
      </c>
      <c r="O26" s="682">
        <f>Eingabe!L77</f>
        <v>0</v>
      </c>
      <c r="P26" s="683" t="str">
        <f t="shared" si="3"/>
        <v xml:space="preserve"> </v>
      </c>
      <c r="Q26" s="682">
        <f>Eingabe!M77</f>
        <v>0</v>
      </c>
      <c r="R26" s="683" t="str">
        <f t="shared" si="4"/>
        <v xml:space="preserve"> </v>
      </c>
    </row>
    <row r="27" spans="1:18" ht="11.25" customHeight="1" x14ac:dyDescent="0.2">
      <c r="B27" s="612">
        <v>5</v>
      </c>
      <c r="C27" s="612"/>
      <c r="D27" s="611" t="s">
        <v>24</v>
      </c>
      <c r="E27" s="611"/>
      <c r="F27" s="611"/>
      <c r="G27" s="731" t="s">
        <v>0</v>
      </c>
      <c r="H27" s="567" t="s">
        <v>19</v>
      </c>
      <c r="I27" s="682">
        <f>Eingabe!I78</f>
        <v>0</v>
      </c>
      <c r="J27" s="683" t="str">
        <f t="shared" si="0"/>
        <v xml:space="preserve"> </v>
      </c>
      <c r="K27" s="682">
        <f>Eingabe!J78</f>
        <v>0</v>
      </c>
      <c r="L27" s="683" t="str">
        <f t="shared" si="1"/>
        <v xml:space="preserve"> </v>
      </c>
      <c r="M27" s="682">
        <f>Eingabe!K78</f>
        <v>0</v>
      </c>
      <c r="N27" s="683" t="str">
        <f t="shared" si="2"/>
        <v xml:space="preserve"> </v>
      </c>
      <c r="O27" s="682">
        <f>Eingabe!L78</f>
        <v>0</v>
      </c>
      <c r="P27" s="683" t="str">
        <f t="shared" si="3"/>
        <v xml:space="preserve"> </v>
      </c>
      <c r="Q27" s="682">
        <f>Eingabe!M78</f>
        <v>0</v>
      </c>
      <c r="R27" s="683" t="str">
        <f t="shared" si="4"/>
        <v xml:space="preserve"> </v>
      </c>
    </row>
    <row r="28" spans="1:18" s="656" customFormat="1" ht="11.25" customHeight="1" outlineLevel="1" x14ac:dyDescent="0.2">
      <c r="A28" s="653"/>
      <c r="B28" s="654" t="s">
        <v>143</v>
      </c>
      <c r="C28" s="700"/>
      <c r="D28" s="655" t="s">
        <v>571</v>
      </c>
      <c r="E28" s="655"/>
      <c r="F28" s="655"/>
      <c r="G28" s="655"/>
      <c r="H28" s="684" t="s">
        <v>19</v>
      </c>
      <c r="I28" s="685">
        <f>Eingabe!I79</f>
        <v>0</v>
      </c>
      <c r="J28" s="686" t="str">
        <f t="shared" si="0"/>
        <v xml:space="preserve"> </v>
      </c>
      <c r="K28" s="685">
        <f>Eingabe!J79</f>
        <v>0</v>
      </c>
      <c r="L28" s="686" t="str">
        <f t="shared" si="1"/>
        <v xml:space="preserve"> </v>
      </c>
      <c r="M28" s="685">
        <f>Eingabe!K79</f>
        <v>0</v>
      </c>
      <c r="N28" s="686" t="str">
        <f t="shared" si="2"/>
        <v xml:space="preserve"> </v>
      </c>
      <c r="O28" s="685">
        <f>Eingabe!L79</f>
        <v>0</v>
      </c>
      <c r="P28" s="686" t="str">
        <f t="shared" si="3"/>
        <v xml:space="preserve"> </v>
      </c>
      <c r="Q28" s="685">
        <f>Eingabe!M79</f>
        <v>0</v>
      </c>
      <c r="R28" s="686" t="str">
        <f t="shared" si="4"/>
        <v xml:space="preserve"> </v>
      </c>
    </row>
    <row r="29" spans="1:18" ht="11.25" customHeight="1" x14ac:dyDescent="0.2">
      <c r="B29" s="678">
        <v>9</v>
      </c>
      <c r="C29" s="678"/>
      <c r="D29" s="667" t="s">
        <v>549</v>
      </c>
      <c r="E29" s="667"/>
      <c r="F29" s="667"/>
      <c r="G29" s="731" t="s">
        <v>0</v>
      </c>
      <c r="H29" s="567" t="s">
        <v>19</v>
      </c>
      <c r="I29" s="682">
        <f>Eingabe!I80</f>
        <v>0</v>
      </c>
      <c r="J29" s="683" t="str">
        <f t="shared" si="0"/>
        <v xml:space="preserve"> </v>
      </c>
      <c r="K29" s="682">
        <f>Eingabe!J80</f>
        <v>0</v>
      </c>
      <c r="L29" s="683" t="str">
        <f t="shared" si="1"/>
        <v xml:space="preserve"> </v>
      </c>
      <c r="M29" s="682">
        <f>Eingabe!K80</f>
        <v>0</v>
      </c>
      <c r="N29" s="683" t="str">
        <f t="shared" si="2"/>
        <v xml:space="preserve"> </v>
      </c>
      <c r="O29" s="682">
        <f>Eingabe!L80</f>
        <v>0</v>
      </c>
      <c r="P29" s="683" t="str">
        <f t="shared" si="3"/>
        <v xml:space="preserve"> </v>
      </c>
      <c r="Q29" s="682">
        <f>Eingabe!M80</f>
        <v>0</v>
      </c>
      <c r="R29" s="683" t="str">
        <f t="shared" si="4"/>
        <v xml:space="preserve"> </v>
      </c>
    </row>
    <row r="30" spans="1:18" ht="11.25" customHeight="1" thickBot="1" x14ac:dyDescent="0.25">
      <c r="B30" s="1034" t="s">
        <v>774</v>
      </c>
      <c r="C30" s="1035"/>
      <c r="D30" s="757" t="s">
        <v>701</v>
      </c>
      <c r="E30" s="757"/>
      <c r="F30" s="757"/>
      <c r="G30" s="758"/>
      <c r="H30" s="758" t="s">
        <v>19</v>
      </c>
      <c r="I30" s="759">
        <f>Eingabe!I83</f>
        <v>0</v>
      </c>
      <c r="J30" s="760" t="str">
        <f t="shared" si="0"/>
        <v xml:space="preserve"> </v>
      </c>
      <c r="K30" s="759">
        <f>SUM(K7:K29)-K11-K12-K13-K14-K15-K16-K17-K19-K18-K20-K21-K22-K23-K24</f>
        <v>0</v>
      </c>
      <c r="L30" s="765" t="str">
        <f t="shared" si="1"/>
        <v xml:space="preserve"> </v>
      </c>
      <c r="M30" s="759">
        <f>SUM(M7:M29)-M11-M12-M13-M14-M15-M16-M17-M19-M18-M20-M21-M22-M23-M24</f>
        <v>0</v>
      </c>
      <c r="N30" s="765" t="str">
        <f t="shared" si="2"/>
        <v xml:space="preserve"> </v>
      </c>
      <c r="O30" s="759">
        <f>SUM(O7:O29)-O11-O12-O13-O14-O15-O16-O17-O19-O18-O20-O21-O22-O23-O24</f>
        <v>0</v>
      </c>
      <c r="P30" s="765" t="str">
        <f t="shared" si="3"/>
        <v xml:space="preserve"> </v>
      </c>
      <c r="Q30" s="759">
        <f>SUM(Q7:Q29)-Q11-Q12-Q13-Q14-Q15-Q16-Q17-Q19-Q18-Q20-Q21-Q22-Q23-Q24</f>
        <v>0</v>
      </c>
      <c r="R30" s="765" t="str">
        <f t="shared" si="4"/>
        <v xml:space="preserve"> </v>
      </c>
    </row>
    <row r="31" spans="1:18" ht="11.25" customHeight="1" x14ac:dyDescent="0.2">
      <c r="B31" s="1039" t="s">
        <v>813</v>
      </c>
      <c r="C31" s="1039"/>
      <c r="D31" s="1039"/>
      <c r="E31" s="681"/>
      <c r="F31" s="681"/>
      <c r="G31" s="674"/>
      <c r="H31" s="674" t="s">
        <v>19</v>
      </c>
      <c r="I31" s="675">
        <f>Eingabe!I84</f>
        <v>0</v>
      </c>
      <c r="J31" s="676" t="str">
        <f t="shared" si="0"/>
        <v xml:space="preserve"> </v>
      </c>
      <c r="K31" s="675">
        <f>Eingabe!J84</f>
        <v>0</v>
      </c>
      <c r="L31" s="677" t="str">
        <f t="shared" si="1"/>
        <v xml:space="preserve"> </v>
      </c>
      <c r="M31" s="675">
        <f>Eingabe!K84</f>
        <v>0</v>
      </c>
      <c r="N31" s="677" t="str">
        <f t="shared" si="2"/>
        <v xml:space="preserve"> </v>
      </c>
      <c r="O31" s="675">
        <f>Eingabe!L84</f>
        <v>0</v>
      </c>
      <c r="P31" s="677" t="str">
        <f t="shared" si="3"/>
        <v xml:space="preserve"> </v>
      </c>
      <c r="Q31" s="675"/>
      <c r="R31" s="677"/>
    </row>
    <row r="32" spans="1:18" ht="11.25" customHeight="1" thickBot="1" x14ac:dyDescent="0.25">
      <c r="B32" s="1040" t="s">
        <v>555</v>
      </c>
      <c r="C32" s="1040"/>
      <c r="D32" s="1040"/>
      <c r="E32" s="757"/>
      <c r="F32" s="757"/>
      <c r="G32" s="758"/>
      <c r="H32" s="758" t="s">
        <v>19</v>
      </c>
      <c r="I32" s="759">
        <f>I30+I31</f>
        <v>0</v>
      </c>
      <c r="J32" s="760" t="str">
        <f t="shared" si="0"/>
        <v xml:space="preserve"> </v>
      </c>
      <c r="K32" s="759">
        <f>K30+K31</f>
        <v>0</v>
      </c>
      <c r="L32" s="765" t="str">
        <f t="shared" si="1"/>
        <v xml:space="preserve"> </v>
      </c>
      <c r="M32" s="759">
        <f>M30+M31</f>
        <v>0</v>
      </c>
      <c r="N32" s="765" t="str">
        <f t="shared" si="2"/>
        <v xml:space="preserve"> </v>
      </c>
      <c r="O32" s="759">
        <f>O30+O31</f>
        <v>0</v>
      </c>
      <c r="P32" s="765" t="str">
        <f t="shared" si="3"/>
        <v xml:space="preserve"> </v>
      </c>
      <c r="Q32" s="759"/>
      <c r="R32" s="765"/>
    </row>
    <row r="33" spans="1:18" ht="24" customHeight="1" x14ac:dyDescent="0.2">
      <c r="B33" s="674"/>
      <c r="C33" s="674"/>
      <c r="D33" s="674"/>
      <c r="E33" s="674"/>
      <c r="F33" s="674"/>
      <c r="G33" s="674"/>
      <c r="H33" s="674"/>
      <c r="I33" s="674"/>
      <c r="J33" s="674"/>
      <c r="K33" s="674"/>
      <c r="L33" s="723"/>
      <c r="M33" s="674"/>
      <c r="N33" s="723"/>
      <c r="O33" s="674"/>
      <c r="P33" s="723"/>
      <c r="Q33" s="674"/>
      <c r="R33" s="723"/>
    </row>
    <row r="34" spans="1:18" ht="11.25" customHeight="1" thickBot="1" x14ac:dyDescent="0.25">
      <c r="A34" s="213"/>
      <c r="B34" s="766"/>
      <c r="C34" s="767"/>
      <c r="D34" s="757"/>
      <c r="E34" s="766"/>
      <c r="F34" s="766" t="s">
        <v>87</v>
      </c>
      <c r="G34" s="757"/>
      <c r="H34" s="757"/>
      <c r="I34" s="757"/>
      <c r="J34" s="757"/>
      <c r="K34" s="768">
        <f>Eingabe!J96</f>
        <v>0</v>
      </c>
      <c r="L34" s="769"/>
      <c r="M34" s="768">
        <f>Eingabe!K96</f>
        <v>0</v>
      </c>
      <c r="N34" s="769"/>
      <c r="O34" s="768">
        <f>Eingabe!L96</f>
        <v>0</v>
      </c>
      <c r="P34" s="769"/>
      <c r="Q34" s="768">
        <f>Eingabe!M96</f>
        <v>0</v>
      </c>
      <c r="R34" s="769"/>
    </row>
    <row r="35" spans="1:18" ht="11.25" customHeight="1" x14ac:dyDescent="0.2">
      <c r="A35" s="213"/>
      <c r="B35" s="643"/>
      <c r="C35" s="701"/>
      <c r="D35" s="922"/>
      <c r="E35" s="924" t="s">
        <v>794</v>
      </c>
      <c r="F35" s="1046" t="s">
        <v>722</v>
      </c>
      <c r="G35" s="1046"/>
      <c r="H35" s="1046"/>
      <c r="I35" s="1046"/>
      <c r="J35" s="1046"/>
      <c r="K35" s="562">
        <f>Eingabe!J97</f>
        <v>0</v>
      </c>
      <c r="L35" s="688" t="str">
        <f>IF(K35=0," ",K35/$K$34)</f>
        <v xml:space="preserve"> </v>
      </c>
      <c r="M35" s="562">
        <f>Eingabe!K97</f>
        <v>0</v>
      </c>
      <c r="N35" s="688" t="str">
        <f>IF(M35=0," ",M35/$M$34)</f>
        <v xml:space="preserve"> </v>
      </c>
      <c r="O35" s="562">
        <f>Eingabe!L97</f>
        <v>0</v>
      </c>
      <c r="P35" s="688" t="str">
        <f>IF(O35=0," ",O35/$O$34)</f>
        <v xml:space="preserve"> </v>
      </c>
      <c r="Q35" s="562">
        <f>Eingabe!M97</f>
        <v>0</v>
      </c>
      <c r="R35" s="688" t="str">
        <f>IF(Q35=0," ",Q35/$Q$34)</f>
        <v xml:space="preserve"> </v>
      </c>
    </row>
    <row r="36" spans="1:18" ht="11.25" customHeight="1" x14ac:dyDescent="0.2">
      <c r="A36" s="213"/>
      <c r="B36" s="643"/>
      <c r="C36" s="701"/>
      <c r="D36" s="922"/>
      <c r="E36" s="924" t="s">
        <v>795</v>
      </c>
      <c r="F36" s="1045" t="s">
        <v>715</v>
      </c>
      <c r="G36" s="1045"/>
      <c r="H36" s="1045"/>
      <c r="I36" s="1045"/>
      <c r="J36" s="1045"/>
      <c r="K36" s="566">
        <f>Eingabe!J98</f>
        <v>0</v>
      </c>
      <c r="L36" s="687" t="str">
        <f t="shared" ref="L36:L45" si="5">IF(K36=0," ",K36/$K$34)</f>
        <v xml:space="preserve"> </v>
      </c>
      <c r="M36" s="566">
        <f>Eingabe!K98</f>
        <v>0</v>
      </c>
      <c r="N36" s="687" t="str">
        <f t="shared" ref="N36:N45" si="6">IF(M36=0," ",M36/$M$34)</f>
        <v xml:space="preserve"> </v>
      </c>
      <c r="O36" s="566">
        <f>Eingabe!L98</f>
        <v>0</v>
      </c>
      <c r="P36" s="687" t="str">
        <f t="shared" ref="P36:P45" si="7">IF(O36=0," ",O36/$O$34)</f>
        <v xml:space="preserve"> </v>
      </c>
      <c r="Q36" s="566">
        <f>Eingabe!M98</f>
        <v>0</v>
      </c>
      <c r="R36" s="687" t="str">
        <f t="shared" ref="R36:R45" si="8">IF(Q36=0," ",Q36/$Q$34)</f>
        <v xml:space="preserve"> </v>
      </c>
    </row>
    <row r="37" spans="1:18" ht="12" customHeight="1" x14ac:dyDescent="0.2">
      <c r="A37" s="213"/>
      <c r="B37" s="643"/>
      <c r="C37" s="701"/>
      <c r="D37" s="922"/>
      <c r="E37" s="924" t="s">
        <v>796</v>
      </c>
      <c r="F37" s="1047" t="s">
        <v>716</v>
      </c>
      <c r="G37" s="1047"/>
      <c r="H37" s="1047"/>
      <c r="I37" s="1047"/>
      <c r="J37" s="1047"/>
      <c r="K37" s="566">
        <f>Eingabe!J99</f>
        <v>0</v>
      </c>
      <c r="L37" s="687" t="str">
        <f t="shared" si="5"/>
        <v xml:space="preserve"> </v>
      </c>
      <c r="M37" s="566">
        <f>Eingabe!K99</f>
        <v>0</v>
      </c>
      <c r="N37" s="687" t="str">
        <f t="shared" si="6"/>
        <v xml:space="preserve"> </v>
      </c>
      <c r="O37" s="566">
        <f>Eingabe!L99</f>
        <v>0</v>
      </c>
      <c r="P37" s="687" t="str">
        <f t="shared" si="7"/>
        <v xml:space="preserve"> </v>
      </c>
      <c r="Q37" s="566">
        <f>Eingabe!M99</f>
        <v>0</v>
      </c>
      <c r="R37" s="687" t="str">
        <f t="shared" si="8"/>
        <v xml:space="preserve"> </v>
      </c>
    </row>
    <row r="38" spans="1:18" ht="11.25" customHeight="1" x14ac:dyDescent="0.2">
      <c r="A38" s="213"/>
      <c r="B38" s="643"/>
      <c r="C38" s="612"/>
      <c r="D38" s="97"/>
      <c r="E38" s="924" t="s">
        <v>797</v>
      </c>
      <c r="F38" s="1041" t="s">
        <v>723</v>
      </c>
      <c r="G38" s="1041"/>
      <c r="H38" s="1041"/>
      <c r="I38" s="1041"/>
      <c r="J38" s="1041"/>
      <c r="K38" s="566">
        <f>Eingabe!J100</f>
        <v>0</v>
      </c>
      <c r="L38" s="687" t="str">
        <f t="shared" si="5"/>
        <v xml:space="preserve"> </v>
      </c>
      <c r="M38" s="566">
        <f>Eingabe!K100</f>
        <v>0</v>
      </c>
      <c r="N38" s="687" t="str">
        <f t="shared" si="6"/>
        <v xml:space="preserve"> </v>
      </c>
      <c r="O38" s="566">
        <f>Eingabe!L100</f>
        <v>0</v>
      </c>
      <c r="P38" s="687" t="str">
        <f t="shared" si="7"/>
        <v xml:space="preserve"> </v>
      </c>
      <c r="Q38" s="566">
        <f>Eingabe!M100</f>
        <v>0</v>
      </c>
      <c r="R38" s="687" t="str">
        <f t="shared" si="8"/>
        <v xml:space="preserve"> </v>
      </c>
    </row>
    <row r="39" spans="1:18" ht="11.25" customHeight="1" x14ac:dyDescent="0.2">
      <c r="A39" s="213"/>
      <c r="B39" s="643"/>
      <c r="C39" s="612"/>
      <c r="D39" s="97"/>
      <c r="E39" s="924" t="s">
        <v>798</v>
      </c>
      <c r="F39" s="1041" t="s">
        <v>718</v>
      </c>
      <c r="G39" s="1041"/>
      <c r="H39" s="1041"/>
      <c r="I39" s="1041"/>
      <c r="J39" s="1041"/>
      <c r="K39" s="566">
        <f>Eingabe!J101</f>
        <v>0</v>
      </c>
      <c r="L39" s="687" t="str">
        <f t="shared" si="5"/>
        <v xml:space="preserve"> </v>
      </c>
      <c r="M39" s="566">
        <f>Eingabe!K101</f>
        <v>0</v>
      </c>
      <c r="N39" s="687" t="str">
        <f t="shared" si="6"/>
        <v xml:space="preserve"> </v>
      </c>
      <c r="O39" s="566">
        <f>Eingabe!L101</f>
        <v>0</v>
      </c>
      <c r="P39" s="687" t="str">
        <f t="shared" si="7"/>
        <v xml:space="preserve"> </v>
      </c>
      <c r="Q39" s="566">
        <f>Eingabe!M101</f>
        <v>0</v>
      </c>
      <c r="R39" s="687" t="str">
        <f t="shared" si="8"/>
        <v xml:space="preserve"> </v>
      </c>
    </row>
    <row r="40" spans="1:18" ht="11.25" customHeight="1" x14ac:dyDescent="0.2">
      <c r="A40" s="213"/>
      <c r="B40" s="643"/>
      <c r="C40" s="612"/>
      <c r="D40" s="97"/>
      <c r="E40" s="924" t="s">
        <v>799</v>
      </c>
      <c r="F40" s="1041" t="s">
        <v>719</v>
      </c>
      <c r="G40" s="1041"/>
      <c r="H40" s="1041"/>
      <c r="I40" s="1041"/>
      <c r="J40" s="1041"/>
      <c r="K40" s="322">
        <f>Eingabe!J102</f>
        <v>0</v>
      </c>
      <c r="L40" s="657" t="str">
        <f t="shared" si="5"/>
        <v xml:space="preserve"> </v>
      </c>
      <c r="M40" s="322">
        <f>Eingabe!K102</f>
        <v>0</v>
      </c>
      <c r="N40" s="657" t="str">
        <f t="shared" si="6"/>
        <v xml:space="preserve"> </v>
      </c>
      <c r="O40" s="322">
        <f>Eingabe!L102</f>
        <v>0</v>
      </c>
      <c r="P40" s="657" t="str">
        <f t="shared" si="7"/>
        <v xml:space="preserve"> </v>
      </c>
      <c r="Q40" s="322">
        <f>Eingabe!M102</f>
        <v>0</v>
      </c>
      <c r="R40" s="657" t="str">
        <f t="shared" si="8"/>
        <v xml:space="preserve"> </v>
      </c>
    </row>
    <row r="41" spans="1:18" ht="11.25" hidden="1" customHeight="1" x14ac:dyDescent="0.2">
      <c r="A41" s="213"/>
      <c r="B41" s="643"/>
      <c r="C41" s="612"/>
      <c r="D41" s="97"/>
      <c r="E41" s="649"/>
      <c r="F41" s="97"/>
      <c r="G41" s="97"/>
      <c r="H41" s="97"/>
      <c r="I41" s="97"/>
      <c r="J41" s="97"/>
      <c r="K41" s="322"/>
      <c r="L41" s="657" t="str">
        <f t="shared" si="5"/>
        <v xml:space="preserve"> </v>
      </c>
      <c r="M41" s="322"/>
      <c r="N41" s="657" t="str">
        <f t="shared" si="6"/>
        <v xml:space="preserve"> </v>
      </c>
      <c r="O41" s="322"/>
      <c r="P41" s="657" t="str">
        <f t="shared" si="7"/>
        <v xml:space="preserve"> </v>
      </c>
      <c r="Q41" s="322"/>
      <c r="R41" s="657" t="str">
        <f t="shared" si="8"/>
        <v xml:space="preserve"> </v>
      </c>
    </row>
    <row r="42" spans="1:18" ht="11.25" customHeight="1" x14ac:dyDescent="0.2">
      <c r="A42" s="213"/>
      <c r="B42" s="643"/>
      <c r="C42" s="612"/>
      <c r="D42" s="97"/>
      <c r="E42" s="924" t="s">
        <v>800</v>
      </c>
      <c r="F42" s="1041" t="s">
        <v>720</v>
      </c>
      <c r="G42" s="1041"/>
      <c r="H42" s="1041"/>
      <c r="I42" s="1041"/>
      <c r="J42" s="1041"/>
      <c r="K42" s="566">
        <f>Eingabe!J103</f>
        <v>0</v>
      </c>
      <c r="L42" s="687" t="str">
        <f t="shared" si="5"/>
        <v xml:space="preserve"> </v>
      </c>
      <c r="M42" s="566">
        <f>Eingabe!K103</f>
        <v>0</v>
      </c>
      <c r="N42" s="687" t="str">
        <f t="shared" si="6"/>
        <v xml:space="preserve"> </v>
      </c>
      <c r="O42" s="566">
        <f>Eingabe!L103</f>
        <v>0</v>
      </c>
      <c r="P42" s="687" t="str">
        <f t="shared" si="7"/>
        <v xml:space="preserve"> </v>
      </c>
      <c r="Q42" s="566">
        <f>Eingabe!M103</f>
        <v>0</v>
      </c>
      <c r="R42" s="687" t="str">
        <f t="shared" si="8"/>
        <v xml:space="preserve"> </v>
      </c>
    </row>
    <row r="43" spans="1:18" ht="11.25" customHeight="1" x14ac:dyDescent="0.2">
      <c r="A43" s="213"/>
      <c r="B43" s="643"/>
      <c r="C43" s="612"/>
      <c r="D43" s="97"/>
      <c r="E43" s="924" t="s">
        <v>801</v>
      </c>
      <c r="F43" s="1041" t="s">
        <v>721</v>
      </c>
      <c r="G43" s="1041"/>
      <c r="H43" s="1041"/>
      <c r="I43" s="1041"/>
      <c r="J43" s="1041"/>
      <c r="K43" s="566">
        <f>Eingabe!J104</f>
        <v>0</v>
      </c>
      <c r="L43" s="687" t="str">
        <f t="shared" si="5"/>
        <v xml:space="preserve"> </v>
      </c>
      <c r="M43" s="566">
        <f>Eingabe!K104</f>
        <v>0</v>
      </c>
      <c r="N43" s="687" t="str">
        <f t="shared" si="6"/>
        <v xml:space="preserve"> </v>
      </c>
      <c r="O43" s="566">
        <f>Eingabe!L104</f>
        <v>0</v>
      </c>
      <c r="P43" s="687" t="str">
        <f t="shared" si="7"/>
        <v xml:space="preserve"> </v>
      </c>
      <c r="Q43" s="566">
        <f>Eingabe!M104</f>
        <v>0</v>
      </c>
      <c r="R43" s="687" t="str">
        <f t="shared" si="8"/>
        <v xml:space="preserve"> </v>
      </c>
    </row>
    <row r="44" spans="1:18" ht="11.25" hidden="1" customHeight="1" x14ac:dyDescent="0.2">
      <c r="A44" s="213"/>
      <c r="B44" s="643"/>
      <c r="C44" s="612"/>
      <c r="D44" s="97"/>
      <c r="E44" s="649"/>
      <c r="F44" s="97" t="s">
        <v>330</v>
      </c>
      <c r="G44" s="97"/>
      <c r="H44" s="97"/>
      <c r="I44" s="97"/>
      <c r="J44" s="97"/>
      <c r="K44" s="322">
        <f>Eingabe!J105</f>
        <v>0</v>
      </c>
      <c r="L44" s="657" t="str">
        <f t="shared" si="5"/>
        <v xml:space="preserve"> </v>
      </c>
      <c r="M44" s="322">
        <f>Eingabe!K105</f>
        <v>0</v>
      </c>
      <c r="N44" s="657" t="str">
        <f t="shared" si="6"/>
        <v xml:space="preserve"> </v>
      </c>
      <c r="O44" s="322">
        <f>Eingabe!L105</f>
        <v>0</v>
      </c>
      <c r="P44" s="657" t="str">
        <f t="shared" si="7"/>
        <v xml:space="preserve"> </v>
      </c>
      <c r="Q44" s="322">
        <f>Eingabe!M105</f>
        <v>0</v>
      </c>
      <c r="R44" s="657" t="str">
        <f t="shared" si="8"/>
        <v xml:space="preserve"> </v>
      </c>
    </row>
    <row r="45" spans="1:18" ht="11.25" customHeight="1" x14ac:dyDescent="0.2">
      <c r="A45" s="213"/>
      <c r="B45" s="711"/>
      <c r="C45" s="678"/>
      <c r="D45" s="923"/>
      <c r="E45" s="924" t="s">
        <v>802</v>
      </c>
      <c r="F45" s="1042" t="s">
        <v>72</v>
      </c>
      <c r="G45" s="1042"/>
      <c r="H45" s="1042"/>
      <c r="I45" s="1042"/>
      <c r="J45" s="1042"/>
      <c r="K45" s="562">
        <f>Eingabe!J106</f>
        <v>0</v>
      </c>
      <c r="L45" s="688" t="str">
        <f t="shared" si="5"/>
        <v xml:space="preserve"> </v>
      </c>
      <c r="M45" s="562">
        <f>Eingabe!K106</f>
        <v>0</v>
      </c>
      <c r="N45" s="688" t="str">
        <f t="shared" si="6"/>
        <v xml:space="preserve"> </v>
      </c>
      <c r="O45" s="562">
        <f>Eingabe!L106</f>
        <v>0</v>
      </c>
      <c r="P45" s="688" t="str">
        <f t="shared" si="7"/>
        <v xml:space="preserve"> </v>
      </c>
      <c r="Q45" s="562">
        <f>Eingabe!M106</f>
        <v>0</v>
      </c>
      <c r="R45" s="688" t="str">
        <f t="shared" si="8"/>
        <v xml:space="preserve"> </v>
      </c>
    </row>
    <row r="46" spans="1:18" ht="11.25" customHeight="1" x14ac:dyDescent="0.2">
      <c r="A46" s="213"/>
      <c r="B46" s="712"/>
      <c r="C46" s="713"/>
      <c r="D46" s="714"/>
      <c r="E46" s="714"/>
      <c r="F46" s="712" t="s">
        <v>88</v>
      </c>
      <c r="G46" s="714"/>
      <c r="H46" s="712"/>
      <c r="I46" s="715"/>
      <c r="J46" s="715"/>
      <c r="K46" s="752">
        <f>Eingabe!J107</f>
        <v>0</v>
      </c>
      <c r="L46" s="925" t="str">
        <f t="shared" ref="L46:L47" si="9">IF(K46=0," ",K46/$K$34)</f>
        <v xml:space="preserve"> </v>
      </c>
      <c r="M46" s="752">
        <f>Eingabe!K107</f>
        <v>0</v>
      </c>
      <c r="N46" s="925" t="str">
        <f t="shared" ref="N46:N47" si="10">IF(M46=0," ",M46/$M$34)</f>
        <v xml:space="preserve"> </v>
      </c>
      <c r="O46" s="752">
        <f>Eingabe!L107</f>
        <v>0</v>
      </c>
      <c r="P46" s="925" t="str">
        <f t="shared" ref="P46:P47" si="11">IF(O46=0," ",O46/$O$34)</f>
        <v xml:space="preserve"> </v>
      </c>
      <c r="Q46" s="752">
        <f>Eingabe!M107</f>
        <v>0</v>
      </c>
      <c r="R46" s="925" t="str">
        <f t="shared" ref="R46:R47" si="12">IF(Q46=0," ",Q46/$Q$34)</f>
        <v xml:space="preserve"> </v>
      </c>
    </row>
    <row r="47" spans="1:18" ht="11.25" customHeight="1" thickBot="1" x14ac:dyDescent="0.25">
      <c r="A47" s="213"/>
      <c r="B47" s="710"/>
      <c r="C47" s="707"/>
      <c r="D47" s="709"/>
      <c r="E47" s="709"/>
      <c r="F47" s="710" t="s">
        <v>85</v>
      </c>
      <c r="G47" s="709"/>
      <c r="H47" s="710"/>
      <c r="I47" s="708"/>
      <c r="J47" s="708"/>
      <c r="K47" s="926">
        <f>Eingabe!J108</f>
        <v>0</v>
      </c>
      <c r="L47" s="927" t="str">
        <f t="shared" si="9"/>
        <v xml:space="preserve"> </v>
      </c>
      <c r="M47" s="926">
        <f>Eingabe!K108</f>
        <v>0</v>
      </c>
      <c r="N47" s="927" t="str">
        <f t="shared" si="10"/>
        <v xml:space="preserve"> </v>
      </c>
      <c r="O47" s="926">
        <f>Eingabe!L108</f>
        <v>0</v>
      </c>
      <c r="P47" s="927" t="str">
        <f t="shared" si="11"/>
        <v xml:space="preserve"> </v>
      </c>
      <c r="Q47" s="926">
        <f>Eingabe!M108</f>
        <v>0</v>
      </c>
      <c r="R47" s="927" t="str">
        <f t="shared" si="12"/>
        <v xml:space="preserve"> </v>
      </c>
    </row>
    <row r="48" spans="1:18" ht="3.75" customHeight="1" thickTop="1" x14ac:dyDescent="0.2">
      <c r="A48" s="213"/>
      <c r="B48" s="643"/>
      <c r="C48" s="643"/>
      <c r="D48" s="645"/>
      <c r="E48" s="645"/>
      <c r="F48" s="645"/>
      <c r="G48" s="645"/>
      <c r="H48" s="645"/>
      <c r="I48" s="645"/>
      <c r="J48" s="645"/>
      <c r="K48" s="645"/>
      <c r="L48" s="645"/>
      <c r="M48" s="645"/>
      <c r="N48" s="645"/>
      <c r="O48" s="645"/>
      <c r="P48" s="645"/>
      <c r="Q48" s="645"/>
      <c r="R48" s="645"/>
    </row>
    <row r="49" spans="1:18" x14ac:dyDescent="0.2">
      <c r="A49" s="213"/>
      <c r="B49" s="644" t="s">
        <v>573</v>
      </c>
      <c r="C49" s="643"/>
      <c r="E49" s="645"/>
      <c r="F49" s="1036">
        <f>IF(B8_04_7KAEN&gt;0,B8_04_7KAEN,IF(B8_04_6KAEN&gt;0,B8_04_6KAEN,IF(B8_04_5KAEN&gt;0,B8_04_5KAEN,IF(B8_04_4KAEN&gt;0,B8_04_4KAEN,IF(B8_04_3KAEN&gt;0,B8_04_3KAEN,IF(B8_04_2KAEN&gt;0,B8_04_2KAEN,IF(B8_04_1KAEN&gt;0,B8_04_1KAEN,0)))))))</f>
        <v>0</v>
      </c>
      <c r="G49" s="1036"/>
      <c r="H49" s="1036"/>
      <c r="I49" s="1036"/>
      <c r="J49" s="1036"/>
      <c r="K49" s="1036"/>
      <c r="L49" s="1036"/>
      <c r="M49" s="1036"/>
      <c r="N49" s="1036"/>
      <c r="O49" s="1036"/>
      <c r="P49" s="1036"/>
      <c r="Q49" s="1036"/>
      <c r="R49" s="1036"/>
    </row>
    <row r="50" spans="1:18" ht="20.100000000000001" customHeight="1" x14ac:dyDescent="0.2">
      <c r="A50" s="213"/>
      <c r="B50" s="643"/>
      <c r="C50" s="643"/>
      <c r="D50" s="645"/>
      <c r="E50" s="645"/>
      <c r="F50" s="645"/>
      <c r="G50" s="645"/>
      <c r="H50" s="645"/>
      <c r="I50" s="645"/>
      <c r="J50" s="645"/>
      <c r="K50" s="645"/>
      <c r="L50" s="645"/>
      <c r="M50" s="645"/>
      <c r="N50" s="645"/>
      <c r="O50" s="645"/>
      <c r="P50" s="645"/>
      <c r="Q50" s="645"/>
      <c r="R50" s="645"/>
    </row>
    <row r="51" spans="1:18" ht="3.95" customHeight="1" thickBot="1" x14ac:dyDescent="0.25">
      <c r="A51" s="213"/>
      <c r="B51" s="735"/>
      <c r="C51" s="735"/>
      <c r="D51" s="736"/>
      <c r="E51" s="736"/>
      <c r="F51" s="736"/>
      <c r="G51" s="736"/>
      <c r="H51" s="736"/>
      <c r="I51" s="736"/>
      <c r="J51" s="736"/>
      <c r="K51" s="736"/>
      <c r="L51" s="736"/>
      <c r="M51" s="736"/>
      <c r="N51" s="736"/>
      <c r="O51" s="736"/>
      <c r="P51" s="736"/>
      <c r="Q51" s="736"/>
      <c r="R51" s="736"/>
    </row>
    <row r="52" spans="1:18" ht="11.25" customHeight="1" x14ac:dyDescent="0.2">
      <c r="A52" s="213"/>
      <c r="B52" s="452" t="s">
        <v>641</v>
      </c>
      <c r="C52" s="452"/>
      <c r="D52" s="452"/>
      <c r="E52" s="452"/>
      <c r="F52" s="452"/>
      <c r="G52" s="574"/>
      <c r="H52" s="717"/>
      <c r="I52" s="689">
        <f>I7+I9</f>
        <v>0</v>
      </c>
      <c r="J52" s="690">
        <f>IF(I30=0,0,I52/$I$30)</f>
        <v>0</v>
      </c>
      <c r="K52" s="689">
        <f>K7+K9</f>
        <v>0</v>
      </c>
      <c r="L52" s="690">
        <f>IF(I30=0,0,K52/$I$30)</f>
        <v>0</v>
      </c>
      <c r="M52" s="689">
        <f>M7+M9</f>
        <v>0</v>
      </c>
      <c r="N52" s="690">
        <f>IF(I30=0,0,M52/$I$30)</f>
        <v>0</v>
      </c>
      <c r="O52" s="689">
        <f>O7+O9</f>
        <v>0</v>
      </c>
      <c r="P52" s="690">
        <f>IF(I30=0,0,O52/$I$30)</f>
        <v>0</v>
      </c>
      <c r="Q52" s="689">
        <f>Q7+Q9</f>
        <v>0</v>
      </c>
      <c r="R52" s="690">
        <f>IF(I30=0,0,Q52/$I$30)</f>
        <v>0</v>
      </c>
    </row>
    <row r="53" spans="1:18" ht="11.25" customHeight="1" x14ac:dyDescent="0.2">
      <c r="A53" s="213"/>
      <c r="B53" s="452" t="s">
        <v>789</v>
      </c>
      <c r="C53" s="452"/>
      <c r="D53" s="452"/>
      <c r="E53" s="645"/>
      <c r="F53" s="645"/>
      <c r="G53" s="696"/>
      <c r="H53" s="576"/>
      <c r="I53" s="689">
        <f>I30-I9-I7-I54-I55-I56-I57</f>
        <v>0</v>
      </c>
      <c r="J53" s="690">
        <f>IF(I30=0,0,I53/$I$30)</f>
        <v>0</v>
      </c>
      <c r="K53" s="689">
        <f>K30-K9-K7-K54-K55-K56-K57</f>
        <v>0</v>
      </c>
      <c r="L53" s="690">
        <f>IF(K30=0,0,K53/$K$30)</f>
        <v>0</v>
      </c>
      <c r="M53" s="689">
        <f>M30-M9-M7-M54-M55-M56-M57</f>
        <v>0</v>
      </c>
      <c r="N53" s="690">
        <f>IF(M30=0,0,M53/$M$30)</f>
        <v>0</v>
      </c>
      <c r="O53" s="689">
        <f>O30-O9-O7-O54-O55-O56-O57</f>
        <v>0</v>
      </c>
      <c r="P53" s="690">
        <f>IF(O30=0,0,O53/$O$30)</f>
        <v>0</v>
      </c>
      <c r="Q53" s="689">
        <f>Q30-Q9-Q7-Q54-Q55-Q56-Q57</f>
        <v>0</v>
      </c>
      <c r="R53" s="690">
        <f>IF(Q30=0,0,Q53/$Q$30)</f>
        <v>0</v>
      </c>
    </row>
    <row r="54" spans="1:18" ht="11.25" customHeight="1" x14ac:dyDescent="0.2">
      <c r="A54" s="213"/>
      <c r="B54" s="452" t="s">
        <v>790</v>
      </c>
      <c r="C54" s="452"/>
      <c r="D54" s="452"/>
      <c r="E54" s="645"/>
      <c r="F54" s="645"/>
      <c r="G54" s="695"/>
      <c r="H54" s="604"/>
      <c r="I54" s="691">
        <f>Eingabe!I88</f>
        <v>0</v>
      </c>
      <c r="J54" s="692">
        <f>IF(I30=0,0,I54/$I$30)</f>
        <v>0</v>
      </c>
      <c r="K54" s="691">
        <f>Eingabe!J88</f>
        <v>0</v>
      </c>
      <c r="L54" s="692">
        <f>IF(I30=0,0,K54/$I$30)</f>
        <v>0</v>
      </c>
      <c r="M54" s="691">
        <f>Eingabe!K88</f>
        <v>0</v>
      </c>
      <c r="N54" s="692">
        <f>IF(I30=0,0,M54/$I$30)</f>
        <v>0</v>
      </c>
      <c r="O54" s="691">
        <f>Eingabe!L88</f>
        <v>0</v>
      </c>
      <c r="P54" s="692">
        <f>IF(I30=0,0,O54/$I$30)</f>
        <v>0</v>
      </c>
      <c r="Q54" s="691">
        <f>Eingabe!M88</f>
        <v>0</v>
      </c>
      <c r="R54" s="692">
        <f>IF(I30=0,0,Q54/$I$30)</f>
        <v>0</v>
      </c>
    </row>
    <row r="55" spans="1:18" ht="11.25" customHeight="1" x14ac:dyDescent="0.2">
      <c r="A55" s="213"/>
      <c r="B55" s="452" t="s">
        <v>791</v>
      </c>
      <c r="C55" s="452"/>
      <c r="D55" s="452"/>
      <c r="E55" s="645"/>
      <c r="F55" s="645"/>
      <c r="G55" s="695"/>
      <c r="H55" s="576"/>
      <c r="I55" s="741">
        <f>Eingabe!I89</f>
        <v>0</v>
      </c>
      <c r="J55" s="694">
        <f>IF(I30=0,0,I55/$I$30)</f>
        <v>0</v>
      </c>
      <c r="K55" s="693">
        <f>Eingabe!J89</f>
        <v>0</v>
      </c>
      <c r="L55" s="694">
        <f>IF(I30=0,0,K55/$I$30)</f>
        <v>0</v>
      </c>
      <c r="M55" s="693">
        <f>Eingabe!K89</f>
        <v>0</v>
      </c>
      <c r="N55" s="694">
        <f>IF(I30=0,0,M55/$I$30)</f>
        <v>0</v>
      </c>
      <c r="O55" s="693">
        <f>Eingabe!L89</f>
        <v>0</v>
      </c>
      <c r="P55" s="694">
        <f>IF(I30=0,0,O55/$I$30)</f>
        <v>0</v>
      </c>
      <c r="Q55" s="693">
        <f>Eingabe!M89</f>
        <v>0</v>
      </c>
      <c r="R55" s="694">
        <f>IF(I30=0,0,Q55/$I$30)</f>
        <v>0</v>
      </c>
    </row>
    <row r="56" spans="1:18" ht="11.25" customHeight="1" x14ac:dyDescent="0.2">
      <c r="A56" s="213"/>
      <c r="B56" s="452" t="s">
        <v>778</v>
      </c>
      <c r="C56" s="452"/>
      <c r="D56" s="452"/>
      <c r="E56" s="645"/>
      <c r="F56" s="645"/>
      <c r="G56" s="695"/>
      <c r="H56" s="604"/>
      <c r="I56" s="691">
        <f>Eingabe!I90</f>
        <v>0</v>
      </c>
      <c r="J56" s="692">
        <f>IF(I30=0,0,I56/$I$30)</f>
        <v>0</v>
      </c>
      <c r="K56" s="691">
        <f>Eingabe!J90</f>
        <v>0</v>
      </c>
      <c r="L56" s="692">
        <f>IF(I30=0,0,K56/$I$30)</f>
        <v>0</v>
      </c>
      <c r="M56" s="691">
        <f>Eingabe!K90</f>
        <v>0</v>
      </c>
      <c r="N56" s="692">
        <f>IF(I30=0,0,M56/$I$30)</f>
        <v>0</v>
      </c>
      <c r="O56" s="691">
        <f>Eingabe!L90</f>
        <v>0</v>
      </c>
      <c r="P56" s="692">
        <f>IF(I30=0,0,O56/$I$30)</f>
        <v>0</v>
      </c>
      <c r="Q56" s="691">
        <f>Eingabe!M90</f>
        <v>0</v>
      </c>
      <c r="R56" s="692">
        <f>IF(I30=0,0,Q56/$I$30)</f>
        <v>0</v>
      </c>
    </row>
    <row r="57" spans="1:18" ht="11.25" customHeight="1" thickBot="1" x14ac:dyDescent="0.25">
      <c r="A57" s="213"/>
      <c r="B57" s="591" t="s">
        <v>779</v>
      </c>
      <c r="C57" s="591"/>
      <c r="D57" s="591"/>
      <c r="E57" s="736"/>
      <c r="F57" s="736"/>
      <c r="G57" s="736"/>
      <c r="H57" s="722"/>
      <c r="I57" s="742">
        <f>Eingabe!I87</f>
        <v>0</v>
      </c>
      <c r="J57" s="743">
        <f>IF(I30=0,0,I57/$I$30)</f>
        <v>0</v>
      </c>
      <c r="K57" s="742">
        <f>Eingabe!J87</f>
        <v>0</v>
      </c>
      <c r="L57" s="739">
        <f>IF(I30=0,0,K57/$I$30)</f>
        <v>0</v>
      </c>
      <c r="M57" s="738">
        <f>Eingabe!K87</f>
        <v>0</v>
      </c>
      <c r="N57" s="739">
        <f>IF(I30=0,0,M57/$I$30)</f>
        <v>0</v>
      </c>
      <c r="O57" s="738">
        <f>Eingabe!L87</f>
        <v>0</v>
      </c>
      <c r="P57" s="739">
        <f>IF(I30=0,0,O57/$I$30)</f>
        <v>0</v>
      </c>
      <c r="Q57" s="738">
        <f>Eingabe!M87</f>
        <v>0</v>
      </c>
      <c r="R57" s="739">
        <f>IF(I30=0,0,Q57/$I$30)</f>
        <v>0</v>
      </c>
    </row>
    <row r="58" spans="1:18" ht="3.75" customHeight="1" x14ac:dyDescent="0.2">
      <c r="A58" s="213"/>
      <c r="B58" s="643"/>
      <c r="C58" s="643"/>
      <c r="D58" s="645"/>
      <c r="E58" s="645"/>
      <c r="F58" s="645"/>
      <c r="G58" s="645"/>
      <c r="H58" s="716"/>
      <c r="I58" s="645"/>
      <c r="J58" s="645"/>
      <c r="K58" s="645"/>
      <c r="L58" s="645"/>
      <c r="M58" s="645"/>
      <c r="N58" s="645"/>
      <c r="O58" s="645"/>
      <c r="P58" s="645"/>
      <c r="Q58" s="645"/>
      <c r="R58" s="645"/>
    </row>
    <row r="59" spans="1:18" ht="11.25" customHeight="1" x14ac:dyDescent="0.2">
      <c r="A59" s="213"/>
      <c r="B59" s="716" t="s">
        <v>713</v>
      </c>
      <c r="C59" s="643"/>
      <c r="D59" s="645"/>
      <c r="E59" s="645"/>
      <c r="F59" s="645"/>
      <c r="G59" s="696"/>
      <c r="H59" s="678" t="s">
        <v>19</v>
      </c>
      <c r="I59" s="689">
        <f>B8_04_3ZIPH</f>
        <v>0</v>
      </c>
      <c r="J59" s="689"/>
      <c r="K59" s="689">
        <f>B8_04_4ZIPH</f>
        <v>0</v>
      </c>
      <c r="L59" s="689"/>
      <c r="M59" s="689">
        <f>B8_04_5ZIPH</f>
        <v>0</v>
      </c>
      <c r="N59" s="689"/>
      <c r="O59" s="689">
        <f>B8_04_6ZIPH</f>
        <v>0</v>
      </c>
      <c r="P59" s="696"/>
      <c r="Q59" s="689">
        <f>B8_04_7ZIPH</f>
        <v>0</v>
      </c>
      <c r="R59" s="696"/>
    </row>
    <row r="60" spans="1:18" ht="11.25" customHeight="1" thickBot="1" x14ac:dyDescent="0.25">
      <c r="A60" s="213"/>
      <c r="B60" s="734" t="s">
        <v>598</v>
      </c>
      <c r="C60" s="735"/>
      <c r="D60" s="736"/>
      <c r="E60" s="736"/>
      <c r="F60" s="736"/>
      <c r="G60" s="740"/>
      <c r="H60" s="737" t="s">
        <v>19</v>
      </c>
      <c r="I60" s="738">
        <f>I30-I59</f>
        <v>0</v>
      </c>
      <c r="J60" s="739" t="str">
        <f>IF(I59=0," ",I60/I59)</f>
        <v xml:space="preserve"> </v>
      </c>
      <c r="K60" s="738">
        <f>K30-K59</f>
        <v>0</v>
      </c>
      <c r="L60" s="739" t="str">
        <f>IF(K59=0," ",K60/K59)</f>
        <v xml:space="preserve"> </v>
      </c>
      <c r="M60" s="738">
        <f>M30-M59</f>
        <v>0</v>
      </c>
      <c r="N60" s="739" t="str">
        <f>IF(M59=0," ",M60/M59)</f>
        <v xml:space="preserve"> </v>
      </c>
      <c r="O60" s="738">
        <f>O30-O59</f>
        <v>0</v>
      </c>
      <c r="P60" s="739" t="str">
        <f>IF(O59=0," ",O60/O59)</f>
        <v xml:space="preserve"> </v>
      </c>
      <c r="Q60" s="738">
        <f>Q30-Q59</f>
        <v>0</v>
      </c>
      <c r="R60" s="740"/>
    </row>
    <row r="61" spans="1:18" ht="3.95" customHeight="1" x14ac:dyDescent="0.2">
      <c r="A61" s="213"/>
      <c r="B61" s="643"/>
      <c r="C61" s="643"/>
      <c r="D61" s="645"/>
      <c r="E61" s="645"/>
      <c r="F61" s="645"/>
      <c r="G61" s="645"/>
      <c r="H61" s="645"/>
      <c r="I61" s="645"/>
      <c r="J61" s="645"/>
      <c r="K61" s="645"/>
      <c r="L61" s="645"/>
      <c r="M61" s="645"/>
      <c r="N61" s="645"/>
      <c r="O61" s="645"/>
      <c r="P61" s="645"/>
      <c r="Q61" s="645"/>
      <c r="R61" s="645"/>
    </row>
    <row r="62" spans="1:18" ht="44.1" customHeight="1" x14ac:dyDescent="0.2">
      <c r="A62" s="213"/>
    </row>
    <row r="63" spans="1:18" ht="11.25" customHeight="1" x14ac:dyDescent="0.2">
      <c r="A63" s="213"/>
      <c r="B63" s="452" t="s">
        <v>793</v>
      </c>
      <c r="C63" s="452"/>
    </row>
    <row r="64" spans="1:18" ht="11.25" customHeight="1" x14ac:dyDescent="0.2">
      <c r="B64" s="213">
        <f>B2</f>
        <v>0</v>
      </c>
      <c r="I64" s="474"/>
      <c r="J64" s="474"/>
      <c r="K64" s="474"/>
      <c r="M64" s="474"/>
      <c r="O64" s="474"/>
      <c r="Q64" s="474"/>
    </row>
    <row r="65" spans="1:18" ht="11.25" customHeight="1" x14ac:dyDescent="0.2">
      <c r="B65" s="452" t="str">
        <f>"Teuerungsbereinigt (Kostenstand April " &amp; Benchmarkvergleich!F8 &amp;")"</f>
        <v>Teuerungsbereinigt (Kostenstand April )</v>
      </c>
      <c r="E65" s="646"/>
      <c r="I65" s="638" t="s">
        <v>284</v>
      </c>
      <c r="J65" s="638"/>
      <c r="K65" s="638" t="str">
        <f>K1</f>
        <v>Vorprojekt</v>
      </c>
      <c r="L65" s="638"/>
      <c r="M65" s="638" t="str">
        <f>M1</f>
        <v>Vorprojekt</v>
      </c>
      <c r="N65" s="638"/>
      <c r="O65" s="638" t="str">
        <f>O1</f>
        <v>Bauprojekt</v>
      </c>
      <c r="P65" s="638"/>
      <c r="Q65" s="638" t="str">
        <f>Q1</f>
        <v>Schluss-</v>
      </c>
    </row>
    <row r="66" spans="1:18" ht="11.25" customHeight="1" x14ac:dyDescent="0.2">
      <c r="B66" s="385"/>
      <c r="C66" s="385"/>
      <c r="D66" s="385"/>
      <c r="E66" s="385"/>
      <c r="F66" s="385"/>
      <c r="G66" s="385"/>
      <c r="H66" s="385"/>
      <c r="I66" s="385" t="str">
        <f>I2</f>
        <v>vereinbarung</v>
      </c>
      <c r="J66" s="385"/>
      <c r="K66" s="385" t="str">
        <f>K2</f>
        <v>KGS</v>
      </c>
      <c r="L66" s="385"/>
      <c r="M66" s="385" t="str">
        <f>M2</f>
        <v>KS</v>
      </c>
      <c r="N66" s="385"/>
      <c r="O66" s="385" t="str">
        <f>O2</f>
        <v>KV</v>
      </c>
      <c r="P66" s="385"/>
      <c r="Q66" s="385" t="str">
        <f>Q2</f>
        <v>abrechnung</v>
      </c>
      <c r="R66" s="642"/>
    </row>
    <row r="67" spans="1:18" ht="11.25" customHeight="1" thickBot="1" x14ac:dyDescent="0.25">
      <c r="B67" s="591" t="s">
        <v>71</v>
      </c>
      <c r="C67" s="720"/>
      <c r="D67" s="592"/>
      <c r="E67" s="591"/>
      <c r="F67" s="591"/>
      <c r="G67" s="721" t="s">
        <v>141</v>
      </c>
      <c r="H67" s="733"/>
      <c r="I67" s="724">
        <f>I3</f>
        <v>0</v>
      </c>
      <c r="J67" s="724"/>
      <c r="K67" s="724">
        <f>K3</f>
        <v>0</v>
      </c>
      <c r="L67" s="724"/>
      <c r="M67" s="724">
        <f>M3</f>
        <v>0</v>
      </c>
      <c r="N67" s="724"/>
      <c r="O67" s="724">
        <f>O3</f>
        <v>0</v>
      </c>
      <c r="P67" s="724"/>
      <c r="Q67" s="724">
        <f>Q3</f>
        <v>0</v>
      </c>
      <c r="R67" s="724"/>
    </row>
    <row r="68" spans="1:18" ht="10.5" customHeight="1" x14ac:dyDescent="0.2">
      <c r="B68" s="746" t="s">
        <v>18</v>
      </c>
      <c r="C68" s="746"/>
      <c r="D68" s="747" t="s">
        <v>1</v>
      </c>
      <c r="E68" s="747"/>
      <c r="F68" s="747"/>
      <c r="G68" s="611"/>
      <c r="H68" s="568" t="s">
        <v>2</v>
      </c>
      <c r="I68" s="576" t="s">
        <v>28</v>
      </c>
      <c r="J68" s="568"/>
      <c r="K68" s="568" t="s">
        <v>28</v>
      </c>
      <c r="L68" s="668"/>
      <c r="M68" s="568" t="s">
        <v>28</v>
      </c>
      <c r="N68" s="668"/>
      <c r="O68" s="568" t="s">
        <v>28</v>
      </c>
      <c r="P68" s="668"/>
      <c r="Q68" s="568" t="s">
        <v>28</v>
      </c>
      <c r="R68" s="668"/>
    </row>
    <row r="69" spans="1:18" ht="11.25" customHeight="1" x14ac:dyDescent="0.2">
      <c r="B69" s="612">
        <v>1</v>
      </c>
      <c r="C69" s="612"/>
      <c r="D69" s="611" t="s">
        <v>362</v>
      </c>
      <c r="E69" s="611"/>
      <c r="F69" s="611"/>
      <c r="G69" s="731" t="s">
        <v>0</v>
      </c>
      <c r="H69" s="567" t="s">
        <v>19</v>
      </c>
      <c r="I69" s="682" t="str">
        <f>IF(I8=0," ",I8/$I$5*B8_04_INSTAND)</f>
        <v xml:space="preserve"> </v>
      </c>
      <c r="J69" s="683" t="str">
        <f>IF(I8=0," ",I69/$I$76)</f>
        <v xml:space="preserve"> </v>
      </c>
      <c r="K69" s="682" t="str">
        <f>IF(K8=0," ",K8/$K$5*B8_04_INSTAND)</f>
        <v xml:space="preserve"> </v>
      </c>
      <c r="L69" s="683" t="str">
        <f>IF(K8=0," ",K69/$K$76)</f>
        <v xml:space="preserve"> </v>
      </c>
      <c r="M69" s="682" t="str">
        <f>IF(M8=0," ",M8/$M$5*B8_04_INSTAND)</f>
        <v xml:space="preserve"> </v>
      </c>
      <c r="N69" s="683" t="str">
        <f>IF(M8=0," ",M69/$M$76)</f>
        <v xml:space="preserve"> </v>
      </c>
      <c r="O69" s="682" t="str">
        <f>IF(O8=0," ",O8/$O$5*B8_04_INSTAND)</f>
        <v xml:space="preserve"> </v>
      </c>
      <c r="P69" s="683" t="str">
        <f>IF(O8=0," ",O69/$O$76)</f>
        <v xml:space="preserve"> </v>
      </c>
      <c r="Q69" s="682" t="str">
        <f>IF(Q8=0," ",Q8/$Q$5*B8_04_INSTAND)</f>
        <v xml:space="preserve"> </v>
      </c>
      <c r="R69" s="683" t="str">
        <f>IF(Q8=0," ",Q69/$Q$76)</f>
        <v xml:space="preserve"> </v>
      </c>
    </row>
    <row r="70" spans="1:18" ht="11.25" customHeight="1" x14ac:dyDescent="0.2">
      <c r="B70" s="612">
        <v>2</v>
      </c>
      <c r="C70" s="612"/>
      <c r="D70" s="611" t="s">
        <v>21</v>
      </c>
      <c r="E70" s="611"/>
      <c r="F70" s="611"/>
      <c r="G70" s="611" t="s">
        <v>0</v>
      </c>
      <c r="H70" s="567" t="s">
        <v>19</v>
      </c>
      <c r="I70" s="682" t="str">
        <f>IF(I10=0," ",I10/$I$5*B8_04_INSTAND)</f>
        <v xml:space="preserve"> </v>
      </c>
      <c r="J70" s="683" t="str">
        <f>IF(I10=0," ",I70/$I$76)</f>
        <v xml:space="preserve"> </v>
      </c>
      <c r="K70" s="682" t="str">
        <f>IF(K10=0," ",K10/$K$5*B8_04_INSTAND)</f>
        <v xml:space="preserve"> </v>
      </c>
      <c r="L70" s="683" t="str">
        <f>IF(K10=0," ",K70/$K$76)</f>
        <v xml:space="preserve"> </v>
      </c>
      <c r="M70" s="682" t="str">
        <f>IF(M10=0," ",M10/$M$5*B8_04_INSTAND)</f>
        <v xml:space="preserve"> </v>
      </c>
      <c r="N70" s="683" t="str">
        <f>IF(M10=0," ",M70/$M$76)</f>
        <v xml:space="preserve"> </v>
      </c>
      <c r="O70" s="682" t="str">
        <f>IF(O10=0," ",O10/$O$5*B8_04_INSTAND)</f>
        <v xml:space="preserve"> </v>
      </c>
      <c r="P70" s="683" t="str">
        <f>IF(O10=0," ",O70/$O$76)</f>
        <v xml:space="preserve"> </v>
      </c>
      <c r="Q70" s="682" t="str">
        <f>IF(Q10=0,"",Q10/$Q$5*B8_04_INSTAND)</f>
        <v/>
      </c>
      <c r="R70" s="683" t="str">
        <f>IF(Q10=0," ",Q70/$Q$76)</f>
        <v xml:space="preserve"> </v>
      </c>
    </row>
    <row r="71" spans="1:18" ht="11.25" customHeight="1" x14ac:dyDescent="0.2">
      <c r="B71" s="612">
        <v>3</v>
      </c>
      <c r="C71" s="612"/>
      <c r="D71" s="611" t="s">
        <v>545</v>
      </c>
      <c r="E71" s="611"/>
      <c r="F71" s="611"/>
      <c r="G71" s="731" t="s">
        <v>0</v>
      </c>
      <c r="H71" s="567" t="s">
        <v>19</v>
      </c>
      <c r="I71" s="682" t="str">
        <f>IF(I25=0," ",I25/$I$5*B8_04_INSTAND)</f>
        <v xml:space="preserve"> </v>
      </c>
      <c r="J71" s="683" t="str">
        <f>IF(I25=0," ",I71/$I$76)</f>
        <v xml:space="preserve"> </v>
      </c>
      <c r="K71" s="682" t="str">
        <f>IF(K25=0," ",K25/$K$5*B8_04_INSTAND)</f>
        <v xml:space="preserve"> </v>
      </c>
      <c r="L71" s="683" t="str">
        <f>IF(K25=0," ",K71/$K$76)</f>
        <v xml:space="preserve"> </v>
      </c>
      <c r="M71" s="682" t="str">
        <f>IF(M25=0," ",M25/$M$5*B8_04_INSTAND)</f>
        <v xml:space="preserve"> </v>
      </c>
      <c r="N71" s="683" t="str">
        <f>IF(M25=0," ",M71/$M$76)</f>
        <v xml:space="preserve"> </v>
      </c>
      <c r="O71" s="682" t="str">
        <f>IF(O25=0," ",O25/$O$5*B8_04_INSTAND)</f>
        <v xml:space="preserve"> </v>
      </c>
      <c r="P71" s="683" t="str">
        <f>IF(O25=0," ",O71/$O$76)</f>
        <v xml:space="preserve"> </v>
      </c>
      <c r="Q71" s="682" t="str">
        <f>IF(Q25=0," ",Q25/$Q$5*B8_04_INSTAND)</f>
        <v xml:space="preserve"> </v>
      </c>
      <c r="R71" s="683" t="str">
        <f>IF(Q25=0," ",Q71/$Q$76)</f>
        <v xml:space="preserve"> </v>
      </c>
    </row>
    <row r="72" spans="1:18" ht="11.25" customHeight="1" x14ac:dyDescent="0.2">
      <c r="B72" s="612">
        <v>4</v>
      </c>
      <c r="C72" s="612"/>
      <c r="D72" s="611" t="s">
        <v>546</v>
      </c>
      <c r="E72" s="611"/>
      <c r="F72" s="611"/>
      <c r="G72" s="731"/>
      <c r="H72" s="567" t="s">
        <v>19</v>
      </c>
      <c r="I72" s="682" t="str">
        <f>IF(I26=0," ",I26/$I$5*B8_04_INSTAND)</f>
        <v xml:space="preserve"> </v>
      </c>
      <c r="J72" s="683" t="str">
        <f>IF(I26=0," ",I72/$I$76)</f>
        <v xml:space="preserve"> </v>
      </c>
      <c r="K72" s="682" t="str">
        <f>IF(K26=0," ",K26/$K$5*B8_04_INSTAND)</f>
        <v xml:space="preserve"> </v>
      </c>
      <c r="L72" s="683" t="str">
        <f>IF(K26=0," ",K72/$K$76)</f>
        <v xml:space="preserve"> </v>
      </c>
      <c r="M72" s="682" t="str">
        <f>IF(M26=0," ",M26/$M$5*B8_04_INSTAND)</f>
        <v xml:space="preserve"> </v>
      </c>
      <c r="N72" s="683" t="str">
        <f>IF(M26=0," ",M72/$M$76)</f>
        <v xml:space="preserve"> </v>
      </c>
      <c r="O72" s="682" t="str">
        <f>IF(O26=0," ",O26/$O$5*B8_04_INSTAND)</f>
        <v xml:space="preserve"> </v>
      </c>
      <c r="P72" s="683" t="str">
        <f>IF(O26=0," ",O72/$O$76)</f>
        <v xml:space="preserve"> </v>
      </c>
      <c r="Q72" s="682" t="str">
        <f>IF(Q26=0," ",Q26/$Q$5*B8_04_INSTAND)</f>
        <v xml:space="preserve"> </v>
      </c>
      <c r="R72" s="683" t="str">
        <f>IF(Q26=0," ",Q72/$Q$76)</f>
        <v xml:space="preserve"> </v>
      </c>
    </row>
    <row r="73" spans="1:18" ht="11.25" customHeight="1" x14ac:dyDescent="0.2">
      <c r="B73" s="612">
        <v>5</v>
      </c>
      <c r="C73" s="612"/>
      <c r="D73" s="611" t="s">
        <v>24</v>
      </c>
      <c r="E73" s="611"/>
      <c r="F73" s="611"/>
      <c r="G73" s="731" t="s">
        <v>0</v>
      </c>
      <c r="H73" s="567" t="s">
        <v>19</v>
      </c>
      <c r="I73" s="682" t="str">
        <f>IF(I27=0," ",I27/$I$5*B8_04_INSTAND)</f>
        <v xml:space="preserve"> </v>
      </c>
      <c r="J73" s="683" t="str">
        <f>IF(I27=0," ",I73/$I$76)</f>
        <v xml:space="preserve"> </v>
      </c>
      <c r="K73" s="682" t="str">
        <f>IF(K27=0," ",K27/$K$5*B8_04_INSTAND)</f>
        <v xml:space="preserve"> </v>
      </c>
      <c r="L73" s="683" t="str">
        <f>IF(K27=0," ",K73/$K$76)</f>
        <v xml:space="preserve"> </v>
      </c>
      <c r="M73" s="682" t="str">
        <f>IF(M27=0," ",M27/$M$5*B8_04_INSTAND)</f>
        <v xml:space="preserve"> </v>
      </c>
      <c r="N73" s="683" t="str">
        <f>IF(M27=0," ",M73/$M$76)</f>
        <v xml:space="preserve"> </v>
      </c>
      <c r="O73" s="682" t="str">
        <f>IF(O27=0," ",O27/$O$5*B8_04_INSTAND)</f>
        <v xml:space="preserve"> </v>
      </c>
      <c r="P73" s="683" t="str">
        <f>IF(O27=0," ",O73/$O$76)</f>
        <v xml:space="preserve"> </v>
      </c>
      <c r="Q73" s="682" t="str">
        <f>IF(Q27=0," ",Q27/$Q$5*B8_04_INSTAND)</f>
        <v xml:space="preserve"> </v>
      </c>
      <c r="R73" s="683" t="str">
        <f>IF(Q27=0," ",Q73/$Q$76)</f>
        <v xml:space="preserve"> </v>
      </c>
    </row>
    <row r="74" spans="1:18" ht="11.25" customHeight="1" outlineLevel="1" x14ac:dyDescent="0.2">
      <c r="B74" s="612" t="s">
        <v>143</v>
      </c>
      <c r="C74" s="612"/>
      <c r="D74" s="611" t="s">
        <v>571</v>
      </c>
      <c r="E74" s="611"/>
      <c r="F74" s="611"/>
      <c r="G74" s="611"/>
      <c r="H74" s="567" t="s">
        <v>19</v>
      </c>
      <c r="I74" s="682" t="str">
        <f>IF(I28=0," ",I28/$I$5*B8_04_INSTAND)</f>
        <v xml:space="preserve"> </v>
      </c>
      <c r="J74" s="683" t="str">
        <f>IF(I28=0," ",I74/$I$76)</f>
        <v xml:space="preserve"> </v>
      </c>
      <c r="K74" s="682" t="str">
        <f>IF(K28=0," ",K28/$K$5*B8_04_INSTAND)</f>
        <v xml:space="preserve"> </v>
      </c>
      <c r="L74" s="683" t="str">
        <f>IF(K28=0," ",K74/$K$76)</f>
        <v xml:space="preserve"> </v>
      </c>
      <c r="M74" s="682" t="str">
        <f>IF(M28=0," ",M28/$M$5*B8_04_INSTAND)</f>
        <v xml:space="preserve"> </v>
      </c>
      <c r="N74" s="683" t="str">
        <f>IF(M28=0," ",M74/$M$76)</f>
        <v xml:space="preserve"> </v>
      </c>
      <c r="O74" s="682" t="str">
        <f>IF(O28=0," ",O28/$O$5*B8_04_INSTAND)</f>
        <v xml:space="preserve"> </v>
      </c>
      <c r="P74" s="683" t="str">
        <f>IF(O28=0," ",O74/$O$76)</f>
        <v xml:space="preserve"> </v>
      </c>
      <c r="Q74" s="682" t="str">
        <f>IF(Q28=0," ",Q28/$Q$5*B8_04_INSTAND)</f>
        <v xml:space="preserve"> </v>
      </c>
      <c r="R74" s="683" t="str">
        <f>IF(Q28=0," ",Q74/$Q$76)</f>
        <v xml:space="preserve"> </v>
      </c>
    </row>
    <row r="75" spans="1:18" ht="11.25" customHeight="1" x14ac:dyDescent="0.2">
      <c r="B75" s="678">
        <v>9</v>
      </c>
      <c r="C75" s="678"/>
      <c r="D75" s="667" t="s">
        <v>549</v>
      </c>
      <c r="E75" s="667"/>
      <c r="F75" s="667"/>
      <c r="G75" s="731" t="s">
        <v>0</v>
      </c>
      <c r="H75" s="567" t="s">
        <v>19</v>
      </c>
      <c r="I75" s="682" t="str">
        <f>IF(I29=0," ",I29/$I$5*B8_04_INSTAND)</f>
        <v xml:space="preserve"> </v>
      </c>
      <c r="J75" s="683" t="str">
        <f>IF(I29=0," ",I75/$I$76)</f>
        <v xml:space="preserve"> </v>
      </c>
      <c r="K75" s="682" t="str">
        <f>IF(K29=0," ",K29/$K$5*B8_04_INSTAND)</f>
        <v xml:space="preserve"> </v>
      </c>
      <c r="L75" s="683" t="str">
        <f>IF(K29=0," ",K75/$K$76)</f>
        <v xml:space="preserve"> </v>
      </c>
      <c r="M75" s="682" t="str">
        <f>IF(M29=0," ",M29/$M$5*B8_04_INSTAND)</f>
        <v xml:space="preserve"> </v>
      </c>
      <c r="N75" s="683" t="str">
        <f>IF(M29=0," ",M75/$M$76)</f>
        <v xml:space="preserve"> </v>
      </c>
      <c r="O75" s="682" t="str">
        <f>IF(O29=0," ",O29/$O$5*B8_04_INSTAND)</f>
        <v xml:space="preserve"> </v>
      </c>
      <c r="P75" s="683" t="str">
        <f>IF(O29=0," ",O75/$O$76)</f>
        <v xml:space="preserve"> </v>
      </c>
      <c r="Q75" s="682" t="str">
        <f>IF(Q29=0," ",Q29/$Q$5*B8_04_INSTAND)</f>
        <v xml:space="preserve"> </v>
      </c>
      <c r="R75" s="683" t="str">
        <f>IF(Q29=0," ",Q75/$Q$76)</f>
        <v xml:space="preserve"> </v>
      </c>
    </row>
    <row r="76" spans="1:18" ht="11.25" customHeight="1" thickBot="1" x14ac:dyDescent="0.25">
      <c r="B76" s="1034" t="s">
        <v>773</v>
      </c>
      <c r="C76" s="1035"/>
      <c r="D76" s="757" t="s">
        <v>198</v>
      </c>
      <c r="E76" s="757"/>
      <c r="F76" s="757"/>
      <c r="G76" s="758"/>
      <c r="H76" s="758" t="s">
        <v>19</v>
      </c>
      <c r="I76" s="759">
        <f>SUM(I69:I75)</f>
        <v>0</v>
      </c>
      <c r="J76" s="760" t="str">
        <f>IF(I76=0," ",I76/$I$76)</f>
        <v xml:space="preserve"> </v>
      </c>
      <c r="K76" s="759">
        <f>SUM(K69:K75)</f>
        <v>0</v>
      </c>
      <c r="L76" s="760" t="str">
        <f>IF(K76=0," ",K76/$K$76)</f>
        <v xml:space="preserve"> </v>
      </c>
      <c r="M76" s="759">
        <f>SUM(M69:M75)</f>
        <v>0</v>
      </c>
      <c r="N76" s="760" t="str">
        <f>IF(M76=0," ",M76/$M$76)</f>
        <v xml:space="preserve"> </v>
      </c>
      <c r="O76" s="759">
        <f>SUM(O69:O75)</f>
        <v>0</v>
      </c>
      <c r="P76" s="760" t="str">
        <f>IF(O76=0," ",O76/$O$76)</f>
        <v xml:space="preserve"> </v>
      </c>
      <c r="Q76" s="759">
        <f>SUM(Q69:Q75)</f>
        <v>0</v>
      </c>
      <c r="R76" s="760" t="str">
        <f>IF(Q76=0," ",Q76/$Q$76)</f>
        <v xml:space="preserve"> </v>
      </c>
    </row>
    <row r="77" spans="1:18" x14ac:dyDescent="0.2">
      <c r="B77" s="638">
        <v>0</v>
      </c>
      <c r="C77" s="638"/>
      <c r="D77" s="213" t="s">
        <v>86</v>
      </c>
      <c r="G77" s="568"/>
      <c r="H77" s="568" t="s">
        <v>19</v>
      </c>
      <c r="I77" s="679" t="str">
        <f>IF(I7=0," ",I7/$I$5*B8_04_INSTAND)</f>
        <v xml:space="preserve"> </v>
      </c>
      <c r="J77" s="680" t="str">
        <f>IF(I7=0," ",I77/$I$76)</f>
        <v xml:space="preserve"> </v>
      </c>
      <c r="K77" s="679" t="str">
        <f>IF(K7=0," ",K7/$K$5*B8_04_INSTAND)</f>
        <v xml:space="preserve"> </v>
      </c>
      <c r="L77" s="680" t="str">
        <f>IF(K7=0," ",K77/$K$76)</f>
        <v xml:space="preserve"> </v>
      </c>
      <c r="M77" s="679" t="str">
        <f>IF(M7=0," ",M7/$M$5*B8_04_INSTAND)</f>
        <v xml:space="preserve"> </v>
      </c>
      <c r="N77" s="680" t="str">
        <f>IF(M7=0," ",M77/$M$76)</f>
        <v xml:space="preserve"> </v>
      </c>
      <c r="O77" s="679" t="str">
        <f>IF(O7=0," ",O7/$O$5*B8_04_INSTAND)</f>
        <v xml:space="preserve"> </v>
      </c>
      <c r="P77" s="680" t="str">
        <f>IF(O7=0," ",O77/$O$76)</f>
        <v xml:space="preserve"> </v>
      </c>
      <c r="Q77" s="679" t="str">
        <f>IF(Q7=0," ",Q7/$Q$5*B8_04_INSTAND)</f>
        <v xml:space="preserve"> </v>
      </c>
      <c r="R77" s="680" t="str">
        <f>IF(Q7=0," ",Q77/$Q$76)</f>
        <v xml:space="preserve"> </v>
      </c>
    </row>
    <row r="78" spans="1:18" x14ac:dyDescent="0.2">
      <c r="B78" s="576">
        <v>1</v>
      </c>
      <c r="C78" s="576"/>
      <c r="D78" s="568" t="s">
        <v>74</v>
      </c>
      <c r="E78" s="568"/>
      <c r="F78" s="568"/>
      <c r="G78" s="567"/>
      <c r="H78" s="567" t="s">
        <v>19</v>
      </c>
      <c r="I78" s="697" t="str">
        <f>IF(I9=0," ",I9/$I$5*B8_04_INSTAND)</f>
        <v xml:space="preserve"> </v>
      </c>
      <c r="J78" s="683" t="str">
        <f>IF(I9=0," ",I78/$I$76)</f>
        <v xml:space="preserve"> </v>
      </c>
      <c r="K78" s="697" t="str">
        <f>IF(K9=0," ",K9/$K$5*B8_04_INSTAND)</f>
        <v xml:space="preserve"> </v>
      </c>
      <c r="L78" s="683" t="str">
        <f>IF(K9=0," ",K78/$K$76)</f>
        <v xml:space="preserve"> </v>
      </c>
      <c r="M78" s="697" t="str">
        <f>IF(M9=0," ",M9/$M$5*B8_04_INSTAND)</f>
        <v xml:space="preserve"> </v>
      </c>
      <c r="N78" s="683" t="str">
        <f>IF(M9=0," ",M78/$M$76)</f>
        <v xml:space="preserve"> </v>
      </c>
      <c r="O78" s="697" t="str">
        <f>IF(O9=0," ",O9/$O$5*B8_04_INSTAND)</f>
        <v xml:space="preserve"> </v>
      </c>
      <c r="P78" s="683" t="str">
        <f>IF(O9=0," ",O78/$O$76)</f>
        <v xml:space="preserve"> </v>
      </c>
      <c r="Q78" s="697" t="str">
        <f>IF(Q9=0," ",Q9/$Q$5*B8_04_INSTAND)</f>
        <v xml:space="preserve"> </v>
      </c>
      <c r="R78" s="683" t="str">
        <f>IF(Q9=0," ",Q78/$Q$76)</f>
        <v xml:space="preserve"> </v>
      </c>
    </row>
    <row r="79" spans="1:18" ht="11.25" customHeight="1" thickBot="1" x14ac:dyDescent="0.25">
      <c r="B79" s="1034" t="s">
        <v>774</v>
      </c>
      <c r="C79" s="1035"/>
      <c r="D79" s="757" t="s">
        <v>197</v>
      </c>
      <c r="E79" s="757"/>
      <c r="F79" s="757"/>
      <c r="G79" s="758"/>
      <c r="H79" s="758" t="s">
        <v>19</v>
      </c>
      <c r="I79" s="759">
        <f>SUM(I76:I78)</f>
        <v>0</v>
      </c>
      <c r="J79" s="760" t="str">
        <f>IF(I79=0," ",I79/$I$76)</f>
        <v xml:space="preserve"> </v>
      </c>
      <c r="K79" s="759">
        <f>SUM(K76:K78)</f>
        <v>0</v>
      </c>
      <c r="L79" s="760" t="str">
        <f>IF(K79=0," ",K79/$K$76)</f>
        <v xml:space="preserve"> </v>
      </c>
      <c r="M79" s="759">
        <f>SUM(M76:M78)</f>
        <v>0</v>
      </c>
      <c r="N79" s="760" t="str">
        <f>IF(M79=0," ",M79/$M$76)</f>
        <v xml:space="preserve"> </v>
      </c>
      <c r="O79" s="759">
        <f>SUM(O76:O78)</f>
        <v>0</v>
      </c>
      <c r="P79" s="761" t="str">
        <f>IF(O79=0," ",O79/$O$76)</f>
        <v xml:space="preserve"> </v>
      </c>
      <c r="Q79" s="759">
        <f>SUM(Q76:Q78)</f>
        <v>0</v>
      </c>
      <c r="R79" s="760" t="str">
        <f>IF(Q79=0," ",Q79/$Q$76)</f>
        <v xml:space="preserve"> </v>
      </c>
    </row>
    <row r="80" spans="1:18" ht="11.25" customHeight="1" x14ac:dyDescent="0.2">
      <c r="A80" s="213"/>
      <c r="B80" s="568" t="s">
        <v>813</v>
      </c>
      <c r="C80" s="732"/>
      <c r="D80" s="674"/>
      <c r="E80" s="681"/>
      <c r="F80" s="574"/>
      <c r="G80" s="568"/>
      <c r="H80" s="568" t="s">
        <v>19</v>
      </c>
      <c r="I80" s="679" t="str">
        <f>IF(I31=0," ",I31/$I$5*B8_04_INSTAND)</f>
        <v xml:space="preserve"> </v>
      </c>
      <c r="J80" s="680" t="str">
        <f>IF(I31=0," ",I80/$I$76)</f>
        <v xml:space="preserve"> </v>
      </c>
      <c r="K80" s="679" t="str">
        <f>IF(K31=0," ",K31/$K$5*B8_04_INSTAND)</f>
        <v xml:space="preserve"> </v>
      </c>
      <c r="L80" s="680" t="str">
        <f>IF(K31=0," ",K80/$K$76)</f>
        <v xml:space="preserve"> </v>
      </c>
      <c r="M80" s="679" t="str">
        <f>IF(M31=0," ",M31/$M$5*B8_04_INSTAND)</f>
        <v xml:space="preserve"> </v>
      </c>
      <c r="N80" s="680" t="str">
        <f>IF(M31=0," ",M80/$M$76)</f>
        <v xml:space="preserve"> </v>
      </c>
      <c r="O80" s="679" t="str">
        <f>IF(O31=0," ",O31/$O$5*B8_04_INSTAND)</f>
        <v xml:space="preserve"> </v>
      </c>
      <c r="P80" s="680" t="str">
        <f>IF(O31=0," ",O80/$O$76)</f>
        <v xml:space="preserve"> </v>
      </c>
      <c r="Q80" s="679"/>
      <c r="R80" s="680"/>
    </row>
    <row r="81" spans="1:18" ht="11.25" customHeight="1" thickBot="1" x14ac:dyDescent="0.25">
      <c r="A81" s="213"/>
      <c r="B81" s="757" t="s">
        <v>555</v>
      </c>
      <c r="C81" s="757"/>
      <c r="D81" s="758"/>
      <c r="E81" s="757"/>
      <c r="F81" s="757"/>
      <c r="G81" s="758"/>
      <c r="H81" s="758" t="s">
        <v>19</v>
      </c>
      <c r="I81" s="759" t="str">
        <f>IF(I79=0," ",I79+I80)</f>
        <v xml:space="preserve"> </v>
      </c>
      <c r="J81" s="762"/>
      <c r="K81" s="763" t="str">
        <f>IF(K79=0," ",K79+K80)</f>
        <v xml:space="preserve"> </v>
      </c>
      <c r="L81" s="764"/>
      <c r="M81" s="763" t="str">
        <f>IF(M79=0," ",M79+M80)</f>
        <v xml:space="preserve"> </v>
      </c>
      <c r="N81" s="764"/>
      <c r="O81" s="763" t="str">
        <f>IF(O79=0," ",O79+O80)</f>
        <v xml:space="preserve"> </v>
      </c>
      <c r="P81" s="764"/>
      <c r="Q81" s="763"/>
      <c r="R81" s="764"/>
    </row>
    <row r="82" spans="1:18" x14ac:dyDescent="0.2">
      <c r="A82" s="213"/>
    </row>
    <row r="83" spans="1:18" ht="11.25" customHeight="1" x14ac:dyDescent="0.2">
      <c r="A83" s="213"/>
      <c r="B83" s="452" t="s">
        <v>780</v>
      </c>
      <c r="I83" s="638" t="str">
        <f>I1</f>
        <v>Auftrags-</v>
      </c>
      <c r="J83" s="638"/>
      <c r="K83" s="638" t="str">
        <f>K1</f>
        <v>Vorprojekt</v>
      </c>
      <c r="L83" s="638"/>
      <c r="M83" s="638" t="str">
        <f>M1</f>
        <v>Vorprojekt</v>
      </c>
      <c r="N83" s="638"/>
      <c r="O83" s="638" t="str">
        <f>O1</f>
        <v>Bauprojekt</v>
      </c>
      <c r="P83" s="638"/>
      <c r="Q83" s="638" t="str">
        <f>Q1</f>
        <v>Schluss-</v>
      </c>
      <c r="R83" s="638"/>
    </row>
    <row r="84" spans="1:18" ht="11.25" customHeight="1" thickBot="1" x14ac:dyDescent="0.25">
      <c r="A84" s="213"/>
      <c r="B84" s="385"/>
      <c r="C84" s="385"/>
      <c r="D84" s="385"/>
      <c r="H84" s="385"/>
      <c r="I84" s="638" t="str">
        <f>I2</f>
        <v>vereinbarung</v>
      </c>
      <c r="J84" s="385"/>
      <c r="K84" s="638" t="str">
        <f>K2</f>
        <v>KGS</v>
      </c>
      <c r="L84" s="385"/>
      <c r="M84" s="638" t="str">
        <f>M2</f>
        <v>KS</v>
      </c>
      <c r="N84" s="385"/>
      <c r="O84" s="638" t="str">
        <f>O2</f>
        <v>KV</v>
      </c>
      <c r="P84" s="385"/>
      <c r="Q84" s="638" t="str">
        <f>Q2</f>
        <v>abrechnung</v>
      </c>
      <c r="R84" s="385"/>
    </row>
    <row r="85" spans="1:18" ht="11.25" hidden="1" customHeight="1" outlineLevel="1" x14ac:dyDescent="0.2">
      <c r="A85" s="213"/>
      <c r="B85" s="385"/>
      <c r="C85" s="385"/>
      <c r="D85" s="385"/>
      <c r="H85" s="385"/>
      <c r="I85" s="658">
        <f>SUM(I86:I91)</f>
        <v>0</v>
      </c>
      <c r="J85" s="659"/>
      <c r="K85" s="658">
        <f>SUM(K86:K91)</f>
        <v>0</v>
      </c>
      <c r="L85" s="659"/>
      <c r="M85" s="658">
        <f>SUM(M86:M91)</f>
        <v>0</v>
      </c>
      <c r="N85" s="659"/>
      <c r="O85" s="658">
        <f>SUM(O86:O91)</f>
        <v>0</v>
      </c>
      <c r="P85" s="659"/>
      <c r="Q85" s="658">
        <f>SUM(Q86:Q91)</f>
        <v>0</v>
      </c>
      <c r="R85" s="659"/>
    </row>
    <row r="86" spans="1:18" ht="11.25" hidden="1" customHeight="1" outlineLevel="1" x14ac:dyDescent="0.2">
      <c r="A86" s="213"/>
      <c r="B86" s="385"/>
      <c r="C86" s="385"/>
      <c r="D86" s="452" t="s">
        <v>641</v>
      </c>
      <c r="H86" s="385"/>
      <c r="I86" s="658">
        <f>IF(I5="",0,I52/$I$5*B8_04_INSTAND)</f>
        <v>0</v>
      </c>
      <c r="J86" s="659"/>
      <c r="K86" s="658">
        <f>IF(K5="",0,K52/$K$5*B8_04_INSTAND)</f>
        <v>0</v>
      </c>
      <c r="L86" s="659"/>
      <c r="M86" s="658">
        <f>IF(M5="",0,M52/$M$5*B8_04_INSTAND)</f>
        <v>0</v>
      </c>
      <c r="N86" s="659"/>
      <c r="O86" s="658">
        <f>IF(O5="",0,O52/$O$5*B8_04_INSTAND)</f>
        <v>0</v>
      </c>
      <c r="P86" s="659"/>
      <c r="Q86" s="658">
        <f>IF(Q5="",0,Q52/$Q$5*B8_04_INSTAND)</f>
        <v>0</v>
      </c>
      <c r="R86" s="659"/>
    </row>
    <row r="87" spans="1:18" ht="11.25" hidden="1" customHeight="1" outlineLevel="1" x14ac:dyDescent="0.2">
      <c r="A87" s="213"/>
      <c r="B87" s="385"/>
      <c r="C87" s="452"/>
      <c r="D87" s="452" t="s">
        <v>642</v>
      </c>
      <c r="G87" s="385"/>
      <c r="H87" s="385"/>
      <c r="I87" s="658">
        <f>IF(I5="",0,I53/$I$5*B8_04_INSTAND)</f>
        <v>0</v>
      </c>
      <c r="J87" s="659"/>
      <c r="K87" s="658">
        <f>IF(K5="",0,K53/$K$5*B8_04_INSTAND)</f>
        <v>0</v>
      </c>
      <c r="L87" s="659"/>
      <c r="M87" s="658">
        <f>IF(M5="",0,M53/$M$5*B8_04_INSTAND)</f>
        <v>0</v>
      </c>
      <c r="N87" s="659"/>
      <c r="O87" s="658">
        <f>IF(O5="",0,O53/$O$5*B8_04_INSTAND)</f>
        <v>0</v>
      </c>
      <c r="P87" s="659"/>
      <c r="Q87" s="658">
        <f>IF(Q5="",0,Q53/$Q$5*B8_04_INSTAND)</f>
        <v>0</v>
      </c>
      <c r="R87" s="659"/>
    </row>
    <row r="88" spans="1:18" ht="11.25" hidden="1" customHeight="1" outlineLevel="1" x14ac:dyDescent="0.2">
      <c r="A88" s="213"/>
      <c r="B88" s="385"/>
      <c r="C88" s="452"/>
      <c r="D88" s="452" t="s">
        <v>637</v>
      </c>
      <c r="G88" s="385"/>
      <c r="H88" s="385"/>
      <c r="I88" s="658">
        <f>IF(I5="",0,I54/$I$5*B8_04_INSTAND)</f>
        <v>0</v>
      </c>
      <c r="J88" s="659"/>
      <c r="K88" s="658">
        <f>IF(K5="",0,K54/$K$5*B8_04_INSTAND)</f>
        <v>0</v>
      </c>
      <c r="L88" s="659"/>
      <c r="M88" s="658">
        <f>IF(M5="",0,M54/$M$5*B8_04_INSTAND)</f>
        <v>0</v>
      </c>
      <c r="N88" s="659"/>
      <c r="O88" s="658">
        <f>IF(O5="",0,O54/$O$5*B8_04_INSTAND)</f>
        <v>0</v>
      </c>
      <c r="P88" s="659"/>
      <c r="Q88" s="658">
        <f>IF(Q5="",0,Q54/$Q$5*B8_04_INSTAND)</f>
        <v>0</v>
      </c>
      <c r="R88" s="659"/>
    </row>
    <row r="89" spans="1:18" ht="11.25" hidden="1" customHeight="1" outlineLevel="1" x14ac:dyDescent="0.2">
      <c r="A89" s="213"/>
      <c r="B89" s="385"/>
      <c r="C89" s="452"/>
      <c r="D89" s="452" t="s">
        <v>638</v>
      </c>
      <c r="G89" s="385"/>
      <c r="H89" s="385"/>
      <c r="I89" s="658">
        <f>IF(I5="",0,I55/$I$5*B8_04_INSTAND)</f>
        <v>0</v>
      </c>
      <c r="J89" s="659"/>
      <c r="K89" s="658">
        <f>IF(K5="",0,K55/$K$5*B8_04_INSTAND)</f>
        <v>0</v>
      </c>
      <c r="L89" s="659"/>
      <c r="M89" s="658">
        <f>IF(M5="",0,M55/$M$5*B8_04_INSTAND)</f>
        <v>0</v>
      </c>
      <c r="N89" s="659"/>
      <c r="O89" s="658">
        <f>IF(O5="",0,O55/$O$5*B8_04_INSTAND)</f>
        <v>0</v>
      </c>
      <c r="P89" s="659"/>
      <c r="Q89" s="658">
        <f>IF(Q5="",0,Q55/$Q$5*B8_04_INSTAND)</f>
        <v>0</v>
      </c>
      <c r="R89" s="659"/>
    </row>
    <row r="90" spans="1:18" ht="11.25" hidden="1" customHeight="1" outlineLevel="1" x14ac:dyDescent="0.2">
      <c r="A90" s="213"/>
      <c r="B90" s="385"/>
      <c r="C90" s="452"/>
      <c r="D90" s="452" t="s">
        <v>639</v>
      </c>
      <c r="G90" s="385"/>
      <c r="H90" s="385"/>
      <c r="I90" s="658">
        <f>IF(I5="",0,I56/$I$5*B8_04_INSTAND)</f>
        <v>0</v>
      </c>
      <c r="J90" s="659"/>
      <c r="K90" s="658">
        <f>IF(K5="",0,K56/$K$5*B8_04_INSTAND)</f>
        <v>0</v>
      </c>
      <c r="L90" s="659"/>
      <c r="M90" s="658">
        <f>IF(M5="",0,M56/$M$5*B8_04_INSTAND)</f>
        <v>0</v>
      </c>
      <c r="N90" s="659"/>
      <c r="O90" s="658">
        <f>IF(O5="",0,O56/$O$5*B8_04_INSTAND)</f>
        <v>0</v>
      </c>
      <c r="P90" s="659"/>
      <c r="Q90" s="658">
        <f>IF(Q5="",0,Q56/$Q$5*B8_04_INSTAND)</f>
        <v>0</v>
      </c>
      <c r="R90" s="659"/>
    </row>
    <row r="91" spans="1:18" ht="11.25" hidden="1" customHeight="1" outlineLevel="1" x14ac:dyDescent="0.2">
      <c r="A91" s="213"/>
      <c r="B91" s="385"/>
      <c r="C91" s="452"/>
      <c r="D91" s="452" t="s">
        <v>636</v>
      </c>
      <c r="G91" s="385"/>
      <c r="H91" s="385"/>
      <c r="I91" s="658">
        <f>IF(I5="",0,I57/$I$5*B8_04_INSTAND)</f>
        <v>0</v>
      </c>
      <c r="J91" s="659"/>
      <c r="K91" s="658">
        <f>IF(K5="",0,K57/$K$5*B8_04_INSTAND)</f>
        <v>0</v>
      </c>
      <c r="L91" s="659"/>
      <c r="M91" s="658">
        <f>IF(M5="",0,M57/$M$5*B8_04_INSTAND)</f>
        <v>0</v>
      </c>
      <c r="N91" s="659"/>
      <c r="O91" s="658">
        <f>IF(O5="",0,O57/$O$5*B8_04_INSTAND)</f>
        <v>0</v>
      </c>
      <c r="P91" s="659"/>
      <c r="Q91" s="658">
        <f>IF(Q5="",0,Q57/$Q$5*B8_04_INSTAND)</f>
        <v>0</v>
      </c>
      <c r="R91" s="659"/>
    </row>
    <row r="92" spans="1:18" ht="11.25" hidden="1" customHeight="1" outlineLevel="1" thickBot="1" x14ac:dyDescent="0.25">
      <c r="A92" s="213"/>
      <c r="B92" s="385"/>
      <c r="C92" s="452"/>
      <c r="D92" s="452" t="s">
        <v>666</v>
      </c>
      <c r="G92" s="385"/>
      <c r="H92" s="385"/>
      <c r="I92" s="658">
        <f>I88+I89+I90</f>
        <v>0</v>
      </c>
      <c r="J92" s="659"/>
      <c r="K92" s="658">
        <f>K88+K89+K90</f>
        <v>0</v>
      </c>
      <c r="L92" s="659"/>
      <c r="M92" s="658">
        <f>M88+M89+M90</f>
        <v>0</v>
      </c>
      <c r="N92" s="659"/>
      <c r="O92" s="658">
        <f>O88+O89+O90</f>
        <v>0</v>
      </c>
      <c r="P92" s="659"/>
      <c r="Q92" s="658">
        <f>Q88+Q89+Q90</f>
        <v>0</v>
      </c>
      <c r="R92" s="659"/>
    </row>
    <row r="93" spans="1:18" ht="10.5" customHeight="1" collapsed="1" x14ac:dyDescent="0.2">
      <c r="A93" s="213"/>
      <c r="B93" s="614"/>
      <c r="C93" s="614"/>
      <c r="D93" s="614"/>
      <c r="E93" s="614"/>
      <c r="F93" s="615" t="s">
        <v>643</v>
      </c>
      <c r="G93" s="728"/>
      <c r="H93" s="614"/>
      <c r="I93" s="570"/>
      <c r="J93" s="729"/>
      <c r="K93" s="570"/>
      <c r="L93" s="730"/>
      <c r="M93" s="570"/>
      <c r="N93" s="730"/>
      <c r="O93" s="570"/>
      <c r="P93" s="730"/>
      <c r="Q93" s="570"/>
      <c r="R93" s="730"/>
    </row>
    <row r="94" spans="1:18" ht="10.5" customHeight="1" x14ac:dyDescent="0.2">
      <c r="A94" s="213"/>
      <c r="B94" s="213" t="s">
        <v>0</v>
      </c>
      <c r="D94" s="1037" t="str">
        <f>IF('Eingabe-Beschrieb'!G4=0," ",'Eingabe-Beschrieb'!G4)</f>
        <v xml:space="preserve"> </v>
      </c>
      <c r="E94" s="1037"/>
      <c r="F94" s="546" t="s">
        <v>574</v>
      </c>
      <c r="G94" s="1038" t="s">
        <v>152</v>
      </c>
      <c r="H94" s="1038"/>
      <c r="I94" s="562">
        <f>Eingabe!I23</f>
        <v>0</v>
      </c>
      <c r="J94" s="698"/>
      <c r="K94" s="562">
        <f>Eingabe!J23</f>
        <v>0</v>
      </c>
      <c r="L94" s="561" t="str">
        <f>IF(K94=0," ",K94/I94)</f>
        <v xml:space="preserve"> </v>
      </c>
      <c r="M94" s="562">
        <f>Eingabe!K23</f>
        <v>0</v>
      </c>
      <c r="N94" s="561" t="str">
        <f>IF(M94=0," ",M94/K94)</f>
        <v xml:space="preserve"> </v>
      </c>
      <c r="O94" s="562">
        <f>Eingabe!L23</f>
        <v>0</v>
      </c>
      <c r="P94" s="561" t="str">
        <f>IF(M94=0," ",O94/M94)</f>
        <v xml:space="preserve"> </v>
      </c>
      <c r="Q94" s="562">
        <f>Eingabe!M23</f>
        <v>0</v>
      </c>
      <c r="R94" s="561" t="str">
        <f>IF(Q94=0," ",Q94/O94)</f>
        <v xml:space="preserve"> </v>
      </c>
    </row>
    <row r="95" spans="1:18" ht="12" hidden="1" customHeight="1" x14ac:dyDescent="0.2">
      <c r="A95" s="213"/>
      <c r="D95" s="638"/>
      <c r="E95" s="638"/>
      <c r="F95" s="546" t="s">
        <v>665</v>
      </c>
      <c r="G95" s="639"/>
      <c r="H95" s="639"/>
      <c r="I95" s="322">
        <f>SUM(I96:I98)</f>
        <v>0</v>
      </c>
      <c r="J95" s="642"/>
      <c r="K95" s="322">
        <f>SUM(K96:K98)</f>
        <v>0</v>
      </c>
      <c r="L95" s="555"/>
      <c r="M95" s="322">
        <f>SUM(M96:M98)</f>
        <v>0</v>
      </c>
      <c r="N95" s="555"/>
      <c r="O95" s="322">
        <f>SUM(O96:O98)</f>
        <v>0</v>
      </c>
      <c r="P95" s="555"/>
      <c r="Q95" s="322">
        <f>SUM(Q96:Q98)</f>
        <v>0</v>
      </c>
      <c r="R95" s="555"/>
    </row>
    <row r="96" spans="1:18" ht="11.25" customHeight="1" x14ac:dyDescent="0.2">
      <c r="A96" s="213"/>
      <c r="D96" s="1037" t="str">
        <f>IF('Eingabe-Beschrieb'!G5=0," ",'Eingabe-Beschrieb'!G5)</f>
        <v xml:space="preserve"> </v>
      </c>
      <c r="E96" s="1037"/>
      <c r="F96" s="546" t="s">
        <v>575</v>
      </c>
      <c r="G96" s="1044" t="s">
        <v>769</v>
      </c>
      <c r="H96" s="1044"/>
      <c r="I96" s="566">
        <f>B8_04_3FUE2</f>
        <v>0</v>
      </c>
      <c r="J96" s="698"/>
      <c r="K96" s="562">
        <f>B8_04_4FUE2</f>
        <v>0</v>
      </c>
      <c r="L96" s="561" t="str">
        <f t="shared" ref="L96:L102" si="13">IF(K96=0," ",K96/I96)</f>
        <v xml:space="preserve"> </v>
      </c>
      <c r="M96" s="562">
        <f>B8_04_5FUE2</f>
        <v>0</v>
      </c>
      <c r="N96" s="561" t="str">
        <f t="shared" ref="N96:N102" si="14">IF(M96=0," ",M96/K96)</f>
        <v xml:space="preserve"> </v>
      </c>
      <c r="O96" s="562">
        <f>B8_04_6FUE2</f>
        <v>0</v>
      </c>
      <c r="P96" s="561" t="str">
        <f t="shared" ref="P96:P102" si="15">IF(M96=0," ",O96/M96)</f>
        <v xml:space="preserve"> </v>
      </c>
      <c r="Q96" s="562">
        <f>B8_04_7FUE2</f>
        <v>0</v>
      </c>
      <c r="R96" s="561" t="str">
        <f t="shared" ref="R96:R102" si="16">IF(Q96=0," ",Q96/O96)</f>
        <v xml:space="preserve"> </v>
      </c>
    </row>
    <row r="97" spans="1:18" ht="11.25" customHeight="1" x14ac:dyDescent="0.2">
      <c r="A97" s="213"/>
      <c r="D97" s="1037" t="str">
        <f>IF('Eingabe-Beschrieb'!G6=0," ",'Eingabe-Beschrieb'!G6)</f>
        <v xml:space="preserve"> </v>
      </c>
      <c r="E97" s="1037"/>
      <c r="F97" s="546" t="s">
        <v>634</v>
      </c>
      <c r="G97" s="1044" t="s">
        <v>769</v>
      </c>
      <c r="H97" s="1044"/>
      <c r="I97" s="566">
        <f>Eingabe!I26</f>
        <v>0</v>
      </c>
      <c r="J97" s="699"/>
      <c r="K97" s="566">
        <f>Eingabe!J26</f>
        <v>0</v>
      </c>
      <c r="L97" s="554" t="str">
        <f t="shared" si="13"/>
        <v xml:space="preserve"> </v>
      </c>
      <c r="M97" s="566">
        <f>Eingabe!K26</f>
        <v>0</v>
      </c>
      <c r="N97" s="554" t="str">
        <f t="shared" si="14"/>
        <v xml:space="preserve"> </v>
      </c>
      <c r="O97" s="566">
        <f>Eingabe!L26</f>
        <v>0</v>
      </c>
      <c r="P97" s="554" t="str">
        <f t="shared" si="15"/>
        <v xml:space="preserve"> </v>
      </c>
      <c r="Q97" s="566">
        <f>Eingabe!M26</f>
        <v>0</v>
      </c>
      <c r="R97" s="554" t="str">
        <f t="shared" si="16"/>
        <v xml:space="preserve"> </v>
      </c>
    </row>
    <row r="98" spans="1:18" ht="11.25" customHeight="1" x14ac:dyDescent="0.2">
      <c r="A98" s="213"/>
      <c r="D98" s="1037" t="str">
        <f>IF('Eingabe-Beschrieb'!G7=0," ",'Eingabe-Beschrieb'!G7)</f>
        <v xml:space="preserve"> </v>
      </c>
      <c r="E98" s="1037"/>
      <c r="F98" s="546" t="s">
        <v>635</v>
      </c>
      <c r="G98" s="1044" t="s">
        <v>769</v>
      </c>
      <c r="H98" s="1044"/>
      <c r="I98" s="566">
        <f>Eingabe!I28</f>
        <v>0</v>
      </c>
      <c r="J98" s="699"/>
      <c r="K98" s="566">
        <f>Eingabe!J28</f>
        <v>0</v>
      </c>
      <c r="L98" s="554" t="str">
        <f t="shared" si="13"/>
        <v xml:space="preserve"> </v>
      </c>
      <c r="M98" s="566">
        <f>Eingabe!K28</f>
        <v>0</v>
      </c>
      <c r="N98" s="554" t="str">
        <f t="shared" si="14"/>
        <v xml:space="preserve"> </v>
      </c>
      <c r="O98" s="566">
        <f>Eingabe!L28</f>
        <v>0</v>
      </c>
      <c r="P98" s="554" t="str">
        <f t="shared" si="15"/>
        <v xml:space="preserve"> </v>
      </c>
      <c r="Q98" s="566">
        <f>Eingabe!M28</f>
        <v>0</v>
      </c>
      <c r="R98" s="554" t="str">
        <f t="shared" si="16"/>
        <v xml:space="preserve"> </v>
      </c>
    </row>
    <row r="99" spans="1:18" ht="11.25" customHeight="1" x14ac:dyDescent="0.2">
      <c r="A99" s="213"/>
      <c r="B99" s="213" t="s">
        <v>0</v>
      </c>
      <c r="F99" s="546" t="s">
        <v>75</v>
      </c>
      <c r="G99" s="1044" t="s">
        <v>770</v>
      </c>
      <c r="H99" s="1044"/>
      <c r="I99" s="566">
        <f>Eingabe!I15</f>
        <v>0</v>
      </c>
      <c r="J99" s="699"/>
      <c r="K99" s="566">
        <f>Eingabe!J15</f>
        <v>0</v>
      </c>
      <c r="L99" s="554" t="str">
        <f t="shared" si="13"/>
        <v xml:space="preserve"> </v>
      </c>
      <c r="M99" s="566">
        <f>Eingabe!K15</f>
        <v>0</v>
      </c>
      <c r="N99" s="554" t="str">
        <f t="shared" si="14"/>
        <v xml:space="preserve"> </v>
      </c>
      <c r="O99" s="566">
        <f>Eingabe!L15</f>
        <v>0</v>
      </c>
      <c r="P99" s="554" t="str">
        <f t="shared" si="15"/>
        <v xml:space="preserve"> </v>
      </c>
      <c r="Q99" s="566">
        <f>Eingabe!M15</f>
        <v>0</v>
      </c>
      <c r="R99" s="554" t="str">
        <f t="shared" si="16"/>
        <v xml:space="preserve"> </v>
      </c>
    </row>
    <row r="100" spans="1:18" ht="11.25" customHeight="1" x14ac:dyDescent="0.2">
      <c r="A100" s="213"/>
      <c r="B100" s="213" t="s">
        <v>0</v>
      </c>
      <c r="F100" s="546" t="s">
        <v>77</v>
      </c>
      <c r="G100" s="1044" t="s">
        <v>770</v>
      </c>
      <c r="H100" s="1044"/>
      <c r="I100" s="562">
        <f>Eingabe!I31</f>
        <v>0</v>
      </c>
      <c r="J100" s="699"/>
      <c r="K100" s="566">
        <f>Eingabe!J31</f>
        <v>0</v>
      </c>
      <c r="L100" s="554" t="str">
        <f t="shared" si="13"/>
        <v xml:space="preserve"> </v>
      </c>
      <c r="M100" s="566">
        <f>Eingabe!K31</f>
        <v>0</v>
      </c>
      <c r="N100" s="554" t="str">
        <f t="shared" si="14"/>
        <v xml:space="preserve"> </v>
      </c>
      <c r="O100" s="566">
        <f>Eingabe!L31</f>
        <v>0</v>
      </c>
      <c r="P100" s="554" t="str">
        <f t="shared" si="15"/>
        <v xml:space="preserve"> </v>
      </c>
      <c r="Q100" s="566">
        <f>Eingabe!M31</f>
        <v>0</v>
      </c>
      <c r="R100" s="554" t="str">
        <f t="shared" si="16"/>
        <v xml:space="preserve"> </v>
      </c>
    </row>
    <row r="101" spans="1:18" ht="11.25" customHeight="1" x14ac:dyDescent="0.2">
      <c r="A101" s="213"/>
      <c r="B101" s="213" t="s">
        <v>0</v>
      </c>
      <c r="F101" s="546" t="s">
        <v>138</v>
      </c>
      <c r="G101" s="1044" t="s">
        <v>770</v>
      </c>
      <c r="H101" s="1044"/>
      <c r="I101" s="566">
        <f>Eingabe!I32</f>
        <v>0</v>
      </c>
      <c r="J101" s="699"/>
      <c r="K101" s="566">
        <f>Eingabe!J32</f>
        <v>0</v>
      </c>
      <c r="L101" s="554" t="str">
        <f t="shared" si="13"/>
        <v xml:space="preserve"> </v>
      </c>
      <c r="M101" s="566">
        <f>Eingabe!K32</f>
        <v>0</v>
      </c>
      <c r="N101" s="554" t="str">
        <f t="shared" si="14"/>
        <v xml:space="preserve"> </v>
      </c>
      <c r="O101" s="566">
        <f>Eingabe!L32</f>
        <v>0</v>
      </c>
      <c r="P101" s="554" t="str">
        <f t="shared" si="15"/>
        <v xml:space="preserve"> </v>
      </c>
      <c r="Q101" s="566">
        <f>Eingabe!M32</f>
        <v>0</v>
      </c>
      <c r="R101" s="554" t="str">
        <f t="shared" si="16"/>
        <v xml:space="preserve"> </v>
      </c>
    </row>
    <row r="102" spans="1:18" ht="11.25" customHeight="1" thickBot="1" x14ac:dyDescent="0.25">
      <c r="A102" s="213"/>
      <c r="B102" s="592" t="s">
        <v>0</v>
      </c>
      <c r="C102" s="592"/>
      <c r="D102" s="592"/>
      <c r="E102" s="592"/>
      <c r="F102" s="585" t="s">
        <v>76</v>
      </c>
      <c r="G102" s="1043" t="s">
        <v>771</v>
      </c>
      <c r="H102" s="1043"/>
      <c r="I102" s="587">
        <f>Eingabe!I35</f>
        <v>0</v>
      </c>
      <c r="J102" s="727"/>
      <c r="K102" s="581">
        <f>Eingabe!J35</f>
        <v>0</v>
      </c>
      <c r="L102" s="583" t="str">
        <f t="shared" si="13"/>
        <v xml:space="preserve"> </v>
      </c>
      <c r="M102" s="581">
        <f>Eingabe!K35</f>
        <v>0</v>
      </c>
      <c r="N102" s="583" t="str">
        <f t="shared" si="14"/>
        <v xml:space="preserve"> </v>
      </c>
      <c r="O102" s="581">
        <f>Eingabe!L35</f>
        <v>0</v>
      </c>
      <c r="P102" s="583" t="str">
        <f t="shared" si="15"/>
        <v xml:space="preserve"> </v>
      </c>
      <c r="Q102" s="581">
        <f>Eingabe!M35</f>
        <v>0</v>
      </c>
      <c r="R102" s="583" t="str">
        <f t="shared" si="16"/>
        <v xml:space="preserve"> </v>
      </c>
    </row>
    <row r="103" spans="1:18" ht="11.25" customHeight="1" x14ac:dyDescent="0.2">
      <c r="A103" s="213"/>
      <c r="B103" s="213" t="s">
        <v>0</v>
      </c>
      <c r="F103" s="546"/>
      <c r="G103" s="612"/>
      <c r="H103" s="638"/>
      <c r="I103" s="322"/>
      <c r="J103" s="642"/>
      <c r="K103" s="322"/>
      <c r="L103" s="550"/>
      <c r="M103" s="322"/>
      <c r="N103" s="550"/>
      <c r="O103" s="322"/>
      <c r="P103" s="550"/>
      <c r="Q103" s="322"/>
      <c r="R103" s="550"/>
    </row>
    <row r="104" spans="1:18" ht="11.25" customHeight="1" thickBot="1" x14ac:dyDescent="0.25">
      <c r="A104" s="213"/>
      <c r="B104" s="591" t="s">
        <v>792</v>
      </c>
      <c r="C104" s="592"/>
      <c r="D104" s="592"/>
      <c r="E104" s="592"/>
      <c r="F104" s="586"/>
      <c r="G104" s="670"/>
      <c r="H104" s="720"/>
      <c r="I104" s="587"/>
      <c r="J104" s="724"/>
      <c r="K104" s="587"/>
      <c r="L104" s="593"/>
      <c r="M104" s="587"/>
      <c r="N104" s="593"/>
      <c r="O104" s="587"/>
      <c r="P104" s="593"/>
      <c r="Q104" s="587"/>
      <c r="R104" s="593"/>
    </row>
    <row r="105" spans="1:18" ht="11.25" customHeight="1" x14ac:dyDescent="0.2">
      <c r="A105" s="213"/>
      <c r="B105" s="452"/>
      <c r="D105" s="662"/>
      <c r="F105" s="546" t="s">
        <v>764</v>
      </c>
      <c r="G105" s="1029" t="s">
        <v>206</v>
      </c>
      <c r="H105" s="1029"/>
      <c r="I105" s="562" t="str">
        <f>IF(I94=0," ",I76/I94)</f>
        <v xml:space="preserve"> </v>
      </c>
      <c r="J105" s="698"/>
      <c r="K105" s="562" t="str">
        <f>IF(K94=0," ",K76/K94)</f>
        <v xml:space="preserve"> </v>
      </c>
      <c r="L105" s="561" t="str">
        <f>IF(K94=0," ",K105/I105)</f>
        <v xml:space="preserve"> </v>
      </c>
      <c r="M105" s="562" t="str">
        <f>IF(M94=0," ",M76/M94)</f>
        <v xml:space="preserve"> </v>
      </c>
      <c r="N105" s="561" t="str">
        <f>IF(M94=0," ",M105/K105)</f>
        <v xml:space="preserve"> </v>
      </c>
      <c r="O105" s="562" t="str">
        <f>IF(O94=0," ",O76/O94)</f>
        <v xml:space="preserve"> </v>
      </c>
      <c r="P105" s="561" t="str">
        <f>IF(O94=0," ",O105/M105)</f>
        <v xml:space="preserve"> </v>
      </c>
      <c r="Q105" s="562" t="str">
        <f>IF(Q94=0," ",Q76/Q94)</f>
        <v xml:space="preserve"> </v>
      </c>
      <c r="R105" s="555" t="str">
        <f>IF(Q94=0," ",Q105/O105)</f>
        <v xml:space="preserve"> </v>
      </c>
    </row>
    <row r="106" spans="1:18" ht="11.25" customHeight="1" x14ac:dyDescent="0.2">
      <c r="A106" s="213"/>
      <c r="B106" s="213" t="s">
        <v>0</v>
      </c>
      <c r="F106" s="546" t="s">
        <v>764</v>
      </c>
      <c r="G106" s="1031" t="s">
        <v>740</v>
      </c>
      <c r="H106" s="1031"/>
      <c r="I106" s="566" t="str">
        <f>IF(I99=0," ",I76/I99)</f>
        <v xml:space="preserve"> </v>
      </c>
      <c r="J106" s="698"/>
      <c r="K106" s="562" t="str">
        <f>IF(K99=0," ",K76/K99)</f>
        <v xml:space="preserve"> </v>
      </c>
      <c r="L106" s="561" t="str">
        <f>IF(K99=0," ",K106/I106)</f>
        <v xml:space="preserve"> </v>
      </c>
      <c r="M106" s="562" t="str">
        <f>IF(M99=0," ",M76/M99)</f>
        <v xml:space="preserve"> </v>
      </c>
      <c r="N106" s="561" t="str">
        <f>IF(M99=0," ",M106/K106)</f>
        <v xml:space="preserve"> </v>
      </c>
      <c r="O106" s="562" t="str">
        <f>IF(O99=0," ",O76/O99)</f>
        <v xml:space="preserve"> </v>
      </c>
      <c r="P106" s="561" t="str">
        <f>IF(O99=0," ",O106/M106)</f>
        <v xml:space="preserve"> </v>
      </c>
      <c r="Q106" s="562" t="str">
        <f>IF(Q99=0," ",Q76/Q99)</f>
        <v xml:space="preserve"> </v>
      </c>
      <c r="R106" s="554" t="str">
        <f>IF(Q99=0," ",Q106/O106)</f>
        <v xml:space="preserve"> </v>
      </c>
    </row>
    <row r="107" spans="1:18" ht="11.25" customHeight="1" x14ac:dyDescent="0.2">
      <c r="A107" s="213"/>
      <c r="B107" s="213" t="s">
        <v>0</v>
      </c>
      <c r="F107" s="546" t="s">
        <v>764</v>
      </c>
      <c r="G107" s="1029" t="s">
        <v>738</v>
      </c>
      <c r="H107" s="1029"/>
      <c r="I107" s="562" t="str">
        <f>IF(I100=0," ",I76/I100)</f>
        <v xml:space="preserve"> </v>
      </c>
      <c r="J107" s="699"/>
      <c r="K107" s="566" t="str">
        <f>IF(K100=0," ",K76/K100)</f>
        <v xml:space="preserve"> </v>
      </c>
      <c r="L107" s="554" t="str">
        <f>IF(K100=0," ",K107/I107)</f>
        <v xml:space="preserve"> </v>
      </c>
      <c r="M107" s="566" t="str">
        <f>IF(M100=0," ",M76/M100)</f>
        <v xml:space="preserve"> </v>
      </c>
      <c r="N107" s="554" t="str">
        <f>IF(M100=0," ",M107/K107)</f>
        <v xml:space="preserve"> </v>
      </c>
      <c r="O107" s="566" t="str">
        <f>IF(O100=0," ",O76/O100)</f>
        <v xml:space="preserve"> </v>
      </c>
      <c r="P107" s="554" t="str">
        <f>IF(O100=0," ",O107/M107)</f>
        <v xml:space="preserve"> </v>
      </c>
      <c r="Q107" s="566" t="str">
        <f>IF(Q100=0," ",Q76/Q100)</f>
        <v xml:space="preserve"> </v>
      </c>
      <c r="R107" s="554" t="str">
        <f>IF(Q100=0," ",Q107/O107)</f>
        <v xml:space="preserve"> </v>
      </c>
    </row>
    <row r="108" spans="1:18" ht="11.25" customHeight="1" x14ac:dyDescent="0.2">
      <c r="A108" s="213"/>
      <c r="B108" s="213" t="s">
        <v>0</v>
      </c>
      <c r="F108" s="546" t="s">
        <v>764</v>
      </c>
      <c r="G108" s="1031" t="s">
        <v>741</v>
      </c>
      <c r="H108" s="1031"/>
      <c r="I108" s="566" t="str">
        <f>IF(I102=0," ",I76/I102)</f>
        <v xml:space="preserve"> </v>
      </c>
      <c r="J108" s="699"/>
      <c r="K108" s="566" t="str">
        <f>IF(K102=0," ",K76/K102)</f>
        <v xml:space="preserve"> </v>
      </c>
      <c r="L108" s="554" t="str">
        <f>IF(K102=0," ",K108/I108)</f>
        <v xml:space="preserve"> </v>
      </c>
      <c r="M108" s="566" t="str">
        <f>IF(M102=0," ",M76/M102)</f>
        <v xml:space="preserve"> </v>
      </c>
      <c r="N108" s="554" t="str">
        <f>IF(M102=0," ",M108/K108)</f>
        <v xml:space="preserve"> </v>
      </c>
      <c r="O108" s="566" t="str">
        <f>IF(O102=0," ",O76/O102)</f>
        <v xml:space="preserve"> </v>
      </c>
      <c r="P108" s="554" t="str">
        <f>IF(O102=0," ",O108/M108)</f>
        <v xml:space="preserve"> </v>
      </c>
      <c r="Q108" s="566" t="str">
        <f>IF(Q102=0," ",Q76/Q102)</f>
        <v xml:space="preserve"> </v>
      </c>
      <c r="R108" s="554" t="str">
        <f>IF(Q102=0," ",Q108/O108)</f>
        <v xml:space="preserve"> </v>
      </c>
    </row>
    <row r="109" spans="1:18" x14ac:dyDescent="0.2">
      <c r="A109" s="213"/>
      <c r="F109" s="546"/>
      <c r="G109" s="612" t="s">
        <v>0</v>
      </c>
      <c r="H109" s="638"/>
      <c r="I109" s="556"/>
      <c r="J109" s="726"/>
      <c r="K109" s="556"/>
      <c r="L109" s="557"/>
      <c r="M109" s="556"/>
      <c r="N109" s="557"/>
      <c r="O109" s="556"/>
      <c r="P109" s="557"/>
      <c r="Q109" s="556"/>
      <c r="R109" s="557"/>
    </row>
    <row r="110" spans="1:18" ht="11.25" customHeight="1" x14ac:dyDescent="0.2">
      <c r="A110" s="213"/>
      <c r="B110" s="213" t="s">
        <v>0</v>
      </c>
      <c r="F110" s="546" t="s">
        <v>744</v>
      </c>
      <c r="G110" s="1029" t="s">
        <v>206</v>
      </c>
      <c r="H110" s="1029"/>
      <c r="I110" s="562" t="str">
        <f>IF(I94=0," ",I70/I94)</f>
        <v xml:space="preserve"> </v>
      </c>
      <c r="J110" s="698"/>
      <c r="K110" s="562" t="str">
        <f>IF(K94=0," ",K70/K94)</f>
        <v xml:space="preserve"> </v>
      </c>
      <c r="L110" s="561" t="str">
        <f>IF(K94=0," ",K110/I110)</f>
        <v xml:space="preserve"> </v>
      </c>
      <c r="M110" s="562" t="str">
        <f>IF(M94=0," ",M70/M94)</f>
        <v xml:space="preserve"> </v>
      </c>
      <c r="N110" s="561" t="str">
        <f>IF(M94=0," ",M110/K110)</f>
        <v xml:space="preserve"> </v>
      </c>
      <c r="O110" s="562" t="str">
        <f>IF(O94=0," ",O70/O94)</f>
        <v xml:space="preserve"> </v>
      </c>
      <c r="P110" s="561" t="str">
        <f>IF(O94=0," ",O110/M110)</f>
        <v xml:space="preserve"> </v>
      </c>
      <c r="Q110" s="562" t="str">
        <f>IF(Q94=0," ",Q70/Q94)</f>
        <v xml:space="preserve"> </v>
      </c>
      <c r="R110" s="561" t="str">
        <f>IF(Q94=0," ",Q110/O110)</f>
        <v xml:space="preserve"> </v>
      </c>
    </row>
    <row r="111" spans="1:18" ht="11.25" customHeight="1" x14ac:dyDescent="0.2">
      <c r="A111" s="213"/>
      <c r="B111" s="213" t="s">
        <v>0</v>
      </c>
      <c r="F111" s="546" t="s">
        <v>744</v>
      </c>
      <c r="G111" s="1029" t="s">
        <v>740</v>
      </c>
      <c r="H111" s="1029"/>
      <c r="I111" s="562" t="str">
        <f>IF(I99=0," ",I70/I99)</f>
        <v xml:space="preserve"> </v>
      </c>
      <c r="J111" s="699"/>
      <c r="K111" s="566" t="str">
        <f>IF(K99=0," ",K70/K99)</f>
        <v xml:space="preserve"> </v>
      </c>
      <c r="L111" s="554" t="str">
        <f>IF(K99=0," ",K111/I111)</f>
        <v xml:space="preserve"> </v>
      </c>
      <c r="M111" s="566" t="str">
        <f>IF(M99=0," ",M70/M99)</f>
        <v xml:space="preserve"> </v>
      </c>
      <c r="N111" s="554" t="str">
        <f>IF(M99=0," ",M111/K111)</f>
        <v xml:space="preserve"> </v>
      </c>
      <c r="O111" s="566" t="str">
        <f>IF(O99=0," ",O70/O99)</f>
        <v xml:space="preserve"> </v>
      </c>
      <c r="P111" s="554" t="str">
        <f>IF(O99=0," ",O111/M111)</f>
        <v xml:space="preserve"> </v>
      </c>
      <c r="Q111" s="566" t="str">
        <f>IF(Q99=0," ",Q70/Q99)</f>
        <v xml:space="preserve"> </v>
      </c>
      <c r="R111" s="554" t="str">
        <f>IF(Q99=0," ",Q111/O111)</f>
        <v xml:space="preserve"> </v>
      </c>
    </row>
    <row r="112" spans="1:18" ht="11.25" customHeight="1" x14ac:dyDescent="0.2">
      <c r="A112" s="213"/>
      <c r="B112" s="213" t="s">
        <v>0</v>
      </c>
      <c r="F112" s="546" t="s">
        <v>744</v>
      </c>
      <c r="G112" s="1029" t="s">
        <v>738</v>
      </c>
      <c r="H112" s="1029"/>
      <c r="I112" s="562" t="str">
        <f>IF(I100=0," ",I70/I100)</f>
        <v xml:space="preserve"> </v>
      </c>
      <c r="J112" s="699"/>
      <c r="K112" s="566" t="str">
        <f>IF(K100=0," ",K70/K100)</f>
        <v xml:space="preserve"> </v>
      </c>
      <c r="L112" s="554" t="str">
        <f>IF(K100=0," ",K112/I112)</f>
        <v xml:space="preserve"> </v>
      </c>
      <c r="M112" s="566" t="str">
        <f>IF(M100=0," ",M70/M100)</f>
        <v xml:space="preserve"> </v>
      </c>
      <c r="N112" s="554" t="str">
        <f>IF(M100=0," ",M112/K112)</f>
        <v xml:space="preserve"> </v>
      </c>
      <c r="O112" s="566" t="str">
        <f>IF(O100=0," ",O70/O100)</f>
        <v xml:space="preserve"> </v>
      </c>
      <c r="P112" s="554" t="str">
        <f>IF(O100=0," ",O112/M112)</f>
        <v xml:space="preserve"> </v>
      </c>
      <c r="Q112" s="566" t="str">
        <f>IF(Q100=0," ",Q70/Q100)</f>
        <v xml:space="preserve"> </v>
      </c>
      <c r="R112" s="554" t="str">
        <f>IF(Q100=0," ",Q112/O112)</f>
        <v xml:space="preserve"> </v>
      </c>
    </row>
    <row r="113" spans="1:18" ht="11.25" customHeight="1" thickBot="1" x14ac:dyDescent="0.25">
      <c r="A113" s="213"/>
      <c r="B113" s="592" t="s">
        <v>0</v>
      </c>
      <c r="C113" s="592"/>
      <c r="D113" s="592"/>
      <c r="E113" s="592"/>
      <c r="F113" s="585" t="s">
        <v>744</v>
      </c>
      <c r="G113" s="1032" t="s">
        <v>803</v>
      </c>
      <c r="H113" s="1032"/>
      <c r="I113" s="587" t="str">
        <f>IF(I102=0," ",I70/I102)</f>
        <v xml:space="preserve"> </v>
      </c>
      <c r="J113" s="727"/>
      <c r="K113" s="581" t="str">
        <f>IF(K102=0," ",K70/K102)</f>
        <v xml:space="preserve"> </v>
      </c>
      <c r="L113" s="583" t="str">
        <f>IF(K102=0," ",K113/I113)</f>
        <v xml:space="preserve"> </v>
      </c>
      <c r="M113" s="581" t="str">
        <f>IF(M102=0," ",M70/M102)</f>
        <v xml:space="preserve"> </v>
      </c>
      <c r="N113" s="583" t="str">
        <f>IF(M102=0," ",M113/K113)</f>
        <v xml:space="preserve"> </v>
      </c>
      <c r="O113" s="581" t="str">
        <f>IF(O102=0," ",O70/O102)</f>
        <v xml:space="preserve"> </v>
      </c>
      <c r="P113" s="583" t="str">
        <f>IF(O102=0," ",O113/M113)</f>
        <v xml:space="preserve"> </v>
      </c>
      <c r="Q113" s="581" t="str">
        <f>IF(Q102=0," ",Q70/Q102)</f>
        <v xml:space="preserve"> </v>
      </c>
      <c r="R113" s="583" t="str">
        <f>IF(Q102=0," ",Q113/O113)</f>
        <v xml:space="preserve"> </v>
      </c>
    </row>
    <row r="114" spans="1:18" ht="11.25" customHeight="1" x14ac:dyDescent="0.2">
      <c r="A114" s="213"/>
      <c r="F114" s="546"/>
      <c r="G114" s="612"/>
      <c r="H114" s="638"/>
      <c r="I114" s="322"/>
      <c r="J114" s="642"/>
      <c r="K114" s="322"/>
      <c r="L114" s="555"/>
      <c r="M114" s="322"/>
      <c r="N114" s="555"/>
      <c r="O114" s="322"/>
      <c r="P114" s="555"/>
      <c r="Q114" s="322"/>
      <c r="R114" s="555"/>
    </row>
    <row r="115" spans="1:18" ht="11.25" hidden="1" customHeight="1" x14ac:dyDescent="0.2">
      <c r="A115" s="213"/>
      <c r="F115" s="573" t="s">
        <v>644</v>
      </c>
      <c r="G115" s="612"/>
      <c r="H115" s="638"/>
      <c r="I115" s="322"/>
      <c r="J115" s="642"/>
      <c r="K115" s="322"/>
      <c r="L115" s="550"/>
      <c r="M115" s="322"/>
      <c r="N115" s="550"/>
      <c r="O115" s="322"/>
      <c r="P115" s="550"/>
      <c r="Q115" s="322"/>
      <c r="R115" s="550"/>
    </row>
    <row r="116" spans="1:18" ht="11.25" hidden="1" customHeight="1" x14ac:dyDescent="0.2">
      <c r="A116" s="213"/>
      <c r="F116" s="546" t="s">
        <v>645</v>
      </c>
      <c r="G116" s="612" t="s">
        <v>0</v>
      </c>
      <c r="H116" s="638" t="s">
        <v>19</v>
      </c>
      <c r="I116" s="322" t="str">
        <f>IF(I100-I101=0," ",(I85-I86-I91)/I94)</f>
        <v xml:space="preserve"> </v>
      </c>
      <c r="J116" s="642"/>
      <c r="K116" s="322" t="str">
        <f>IF(K100-K101=0," ",(K85-K86-K91)/K94)</f>
        <v xml:space="preserve"> </v>
      </c>
      <c r="L116" s="555" t="str">
        <f>IF(K100-K101=0," ",K116/I116)</f>
        <v xml:space="preserve"> </v>
      </c>
      <c r="M116" s="322" t="str">
        <f>IF(M100-M101=0," ",(M85-M86-M91)/M94)</f>
        <v xml:space="preserve"> </v>
      </c>
      <c r="N116" s="555" t="str">
        <f>IF(M100-M101=0," ",M116/K116)</f>
        <v xml:space="preserve"> </v>
      </c>
      <c r="O116" s="322" t="str">
        <f>IF(O100-O101=0," ",(O85-O86-O91)/O94)</f>
        <v xml:space="preserve"> </v>
      </c>
      <c r="P116" s="555" t="str">
        <f>IF(O100-O101=0," ",O116/M116)</f>
        <v xml:space="preserve"> </v>
      </c>
      <c r="Q116" s="322" t="str">
        <f>IF(Q100-Q101=0," ",(Q85-Q86-Q91)/Q94)</f>
        <v xml:space="preserve"> </v>
      </c>
      <c r="R116" s="555" t="str">
        <f>IF(Q100-Q101=0," ",Q116/O116)</f>
        <v xml:space="preserve"> </v>
      </c>
    </row>
    <row r="117" spans="1:18" ht="11.25" hidden="1" customHeight="1" x14ac:dyDescent="0.2">
      <c r="A117" s="213"/>
      <c r="F117" s="546" t="s">
        <v>646</v>
      </c>
      <c r="G117" s="612" t="s">
        <v>0</v>
      </c>
      <c r="H117" s="638" t="s">
        <v>19</v>
      </c>
      <c r="I117" s="322" t="str">
        <f>IF(I100-I101=0," ",(I85-I86-I91)/I99)</f>
        <v xml:space="preserve"> </v>
      </c>
      <c r="J117" s="642"/>
      <c r="K117" s="322" t="str">
        <f>IF(K100-K101=0," ",(K85-K86-K91)/K99)</f>
        <v xml:space="preserve"> </v>
      </c>
      <c r="L117" s="555" t="str">
        <f>IF(K100-K101=0," ",K117/I117)</f>
        <v xml:space="preserve"> </v>
      </c>
      <c r="M117" s="322" t="str">
        <f>IF(M100-M101=0," ",(M85-M86-M91)/M99)</f>
        <v xml:space="preserve"> </v>
      </c>
      <c r="N117" s="555" t="str">
        <f>IF(M100-M101=0," ",M117/K117)</f>
        <v xml:space="preserve"> </v>
      </c>
      <c r="O117" s="322" t="str">
        <f>IF(O100-O101=0," ",(O85-O86-O91)/O99)</f>
        <v xml:space="preserve"> </v>
      </c>
      <c r="P117" s="555" t="str">
        <f>IF(O100-O101=0," ",O117/M117)</f>
        <v xml:space="preserve"> </v>
      </c>
      <c r="Q117" s="322" t="str">
        <f>IF(Q100-Q101=0," ",(Q85-Q86-Q91)/Q99)</f>
        <v xml:space="preserve"> </v>
      </c>
      <c r="R117" s="555" t="str">
        <f>IF(Q100-Q101=0," ",Q117/O117)</f>
        <v xml:space="preserve"> </v>
      </c>
    </row>
    <row r="118" spans="1:18" ht="11.25" hidden="1" customHeight="1" x14ac:dyDescent="0.2">
      <c r="A118" s="213"/>
      <c r="F118" s="546" t="s">
        <v>647</v>
      </c>
      <c r="G118" s="612" t="s">
        <v>0</v>
      </c>
      <c r="H118" s="638" t="s">
        <v>19</v>
      </c>
      <c r="I118" s="322" t="str">
        <f>IF(I100-I101=0," ",(I85-I86-I91)/I101)</f>
        <v xml:space="preserve"> </v>
      </c>
      <c r="J118" s="642"/>
      <c r="K118" s="322" t="str">
        <f>IF(K100-K101=0," ",(K85-K86-K91)/K101)</f>
        <v xml:space="preserve"> </v>
      </c>
      <c r="L118" s="555" t="str">
        <f>IF(K100-K101=0," ",K118/I118)</f>
        <v xml:space="preserve"> </v>
      </c>
      <c r="M118" s="322" t="str">
        <f>IF(M100-M101=0," ",(M85-M86-M91)/M101)</f>
        <v xml:space="preserve"> </v>
      </c>
      <c r="N118" s="555" t="str">
        <f>IF(M100-M101=0," ",M118/K118)</f>
        <v xml:space="preserve"> </v>
      </c>
      <c r="O118" s="322" t="str">
        <f>IF(O100-O101=0," ",(O85-O86-O91)/O101)</f>
        <v xml:space="preserve"> </v>
      </c>
      <c r="P118" s="555" t="str">
        <f>IF(O100-O101=0," ",O118/M118)</f>
        <v xml:space="preserve"> </v>
      </c>
      <c r="Q118" s="322" t="str">
        <f>IF(Q100-Q101=0," ",(Q85-Q86-Q91)/Q101)</f>
        <v xml:space="preserve"> </v>
      </c>
      <c r="R118" s="555" t="str">
        <f>IF(Q100-Q101=0," ",Q118/O118)</f>
        <v xml:space="preserve"> </v>
      </c>
    </row>
    <row r="119" spans="1:18" ht="11.25" hidden="1" customHeight="1" x14ac:dyDescent="0.2">
      <c r="A119" s="213"/>
      <c r="F119" s="546"/>
      <c r="G119" s="612"/>
      <c r="H119" s="638"/>
      <c r="I119" s="322"/>
      <c r="J119" s="642"/>
      <c r="K119" s="322"/>
      <c r="L119" s="550"/>
      <c r="M119" s="322"/>
      <c r="N119" s="550"/>
      <c r="O119" s="322"/>
      <c r="P119" s="550"/>
      <c r="Q119" s="322"/>
      <c r="R119" s="550"/>
    </row>
    <row r="120" spans="1:18" ht="11.25" customHeight="1" thickBot="1" x14ac:dyDescent="0.25">
      <c r="A120" s="213"/>
      <c r="B120" s="725" t="s">
        <v>781</v>
      </c>
      <c r="C120" s="592"/>
      <c r="D120" s="592"/>
      <c r="E120" s="592"/>
      <c r="F120" s="586"/>
      <c r="G120" s="670"/>
      <c r="H120" s="720"/>
      <c r="I120" s="592"/>
      <c r="J120" s="592"/>
      <c r="K120" s="592"/>
      <c r="L120" s="592"/>
      <c r="M120" s="592"/>
      <c r="N120" s="592"/>
      <c r="O120" s="592"/>
      <c r="P120" s="592"/>
      <c r="Q120" s="592"/>
      <c r="R120" s="592"/>
    </row>
    <row r="121" spans="1:18" ht="11.25" customHeight="1" x14ac:dyDescent="0.2">
      <c r="A121" s="213"/>
      <c r="F121" s="546" t="s">
        <v>782</v>
      </c>
      <c r="G121" s="1033" t="s">
        <v>678</v>
      </c>
      <c r="H121" s="1033"/>
      <c r="I121" s="596" t="str">
        <f>IF(I94=0," ",(I87/I94))</f>
        <v xml:space="preserve"> </v>
      </c>
      <c r="J121" s="642"/>
      <c r="K121" s="562" t="str">
        <f>IF(K94=0," ",(K87/K94))</f>
        <v xml:space="preserve"> </v>
      </c>
      <c r="L121" s="561" t="str">
        <f>IF(K54+K55+K56+K57=0," ",K121/I121)</f>
        <v xml:space="preserve"> </v>
      </c>
      <c r="M121" s="562" t="str">
        <f>IF(M94=0," ",(M87/M94))</f>
        <v xml:space="preserve"> </v>
      </c>
      <c r="N121" s="561" t="str">
        <f>IF(M54+M55+M56+M57=0," ",M121/K121)</f>
        <v xml:space="preserve"> </v>
      </c>
      <c r="O121" s="562" t="str">
        <f>IF(O94=0," ",(O87/O94))</f>
        <v xml:space="preserve"> </v>
      </c>
      <c r="P121" s="561" t="str">
        <f>IF(O54+O55+O56+O57=0," ",O121/M121)</f>
        <v xml:space="preserve"> </v>
      </c>
      <c r="Q121" s="562" t="str">
        <f>IF(Q94 = 0," ",(Q87/Q94))</f>
        <v xml:space="preserve"> </v>
      </c>
      <c r="R121" s="561" t="str">
        <f>IF(Q54+Q55+Q56+Q57=0," ",Q121/O121)</f>
        <v xml:space="preserve"> </v>
      </c>
    </row>
    <row r="122" spans="1:18" ht="11.25" customHeight="1" x14ac:dyDescent="0.2">
      <c r="A122" s="213"/>
      <c r="F122" s="546" t="s">
        <v>783</v>
      </c>
      <c r="G122" s="1029" t="s">
        <v>737</v>
      </c>
      <c r="H122" s="1029"/>
      <c r="I122" s="562" t="str">
        <f>IF(I96=0," ",(I88/I96))</f>
        <v xml:space="preserve"> </v>
      </c>
      <c r="J122" s="642"/>
      <c r="K122" s="566" t="str">
        <f>IF(K96=0," ",(K88/K96))</f>
        <v xml:space="preserve"> </v>
      </c>
      <c r="L122" s="554" t="str">
        <f>IF(K96=0," ",K122/I122)</f>
        <v xml:space="preserve"> </v>
      </c>
      <c r="M122" s="566" t="str">
        <f>IF(M96=0," ",(M88/M96))</f>
        <v xml:space="preserve"> </v>
      </c>
      <c r="N122" s="554" t="str">
        <f>IF(M96=0," ",M122/K122)</f>
        <v xml:space="preserve"> </v>
      </c>
      <c r="O122" s="566" t="str">
        <f>IF(O96=0," ",(O88/O96))</f>
        <v xml:space="preserve"> </v>
      </c>
      <c r="P122" s="554" t="str">
        <f>IF(O96=0," ",O122/M122)</f>
        <v xml:space="preserve"> </v>
      </c>
      <c r="Q122" s="566" t="str">
        <f>IF(Q96=0," ",(Q88/Q96))</f>
        <v xml:space="preserve"> </v>
      </c>
      <c r="R122" s="554" t="str">
        <f>IF(Q96=0," ",Q122/O122)</f>
        <v xml:space="preserve"> </v>
      </c>
    </row>
    <row r="123" spans="1:18" ht="11.25" customHeight="1" x14ac:dyDescent="0.2">
      <c r="A123" s="213"/>
      <c r="F123" s="546" t="s">
        <v>784</v>
      </c>
      <c r="G123" s="1029" t="s">
        <v>737</v>
      </c>
      <c r="H123" s="1029"/>
      <c r="I123" s="562" t="str">
        <f>IF(I97=0," ",(I89/I97))</f>
        <v xml:space="preserve"> </v>
      </c>
      <c r="J123" s="642"/>
      <c r="K123" s="566" t="str">
        <f>IF(K97=0," ",(K89/K97))</f>
        <v xml:space="preserve"> </v>
      </c>
      <c r="L123" s="554" t="str">
        <f>IF(K97=0," ",K123/I123)</f>
        <v xml:space="preserve"> </v>
      </c>
      <c r="M123" s="566" t="str">
        <f>IF(M97=0," ",(M89/M97))</f>
        <v xml:space="preserve"> </v>
      </c>
      <c r="N123" s="554" t="str">
        <f>IF(M97=0," ",M123/K123)</f>
        <v xml:space="preserve"> </v>
      </c>
      <c r="O123" s="566" t="str">
        <f>IF(O97=0," ",(O89/O97))</f>
        <v xml:space="preserve"> </v>
      </c>
      <c r="P123" s="554" t="str">
        <f>IF(O97=0," ",O123/M123)</f>
        <v xml:space="preserve"> </v>
      </c>
      <c r="Q123" s="566" t="str">
        <f>IF(Q97=0," ",(Q89/Q97))</f>
        <v xml:space="preserve"> </v>
      </c>
      <c r="R123" s="554" t="str">
        <f>IF(Q97=0," ",Q123/O123)</f>
        <v xml:space="preserve"> </v>
      </c>
    </row>
    <row r="124" spans="1:18" ht="11.25" customHeight="1" x14ac:dyDescent="0.2">
      <c r="A124" s="213"/>
      <c r="F124" s="546" t="s">
        <v>785</v>
      </c>
      <c r="G124" s="1030" t="s">
        <v>737</v>
      </c>
      <c r="H124" s="1030"/>
      <c r="I124" s="562" t="str">
        <f>IF(I98=0," ",(I90/I98))</f>
        <v xml:space="preserve"> </v>
      </c>
      <c r="J124" s="642"/>
      <c r="K124" s="566" t="str">
        <f>IF(K98=0," ",(K90/K98))</f>
        <v xml:space="preserve"> </v>
      </c>
      <c r="L124" s="554" t="str">
        <f>IF(K98=0," ",K124/I124)</f>
        <v xml:space="preserve"> </v>
      </c>
      <c r="M124" s="566" t="str">
        <f>IF(M98=0," ",(M90/M98))</f>
        <v xml:space="preserve"> </v>
      </c>
      <c r="N124" s="554" t="str">
        <f>IF(M98=0," ",M124/K124)</f>
        <v xml:space="preserve"> </v>
      </c>
      <c r="O124" s="566" t="str">
        <f>IF(O98=0," ",(O90/O98))</f>
        <v xml:space="preserve"> </v>
      </c>
      <c r="P124" s="554" t="str">
        <f>IF(O98=0," ",O124/M124)</f>
        <v xml:space="preserve"> </v>
      </c>
      <c r="Q124" s="566" t="str">
        <f>IF(Q98=0," ",(Q90/Q98))</f>
        <v xml:space="preserve"> </v>
      </c>
      <c r="R124" s="554" t="str">
        <f>IF(Q98=0," ",Q124/O124)</f>
        <v xml:space="preserve"> </v>
      </c>
    </row>
    <row r="125" spans="1:18" ht="11.25" hidden="1" customHeight="1" x14ac:dyDescent="0.2">
      <c r="A125" s="213"/>
      <c r="F125" s="546" t="s">
        <v>739</v>
      </c>
      <c r="G125" s="1030" t="s">
        <v>737</v>
      </c>
      <c r="H125" s="1030"/>
      <c r="I125" s="322" t="str">
        <f>IF(I96+I97+I98=0," ",((I88+I89+I90))/(I96+I97+I98))</f>
        <v xml:space="preserve"> </v>
      </c>
      <c r="J125" s="642"/>
      <c r="K125" s="322" t="str">
        <f>IF(K96+K97+K98=0," ",((K88+K89+K90))/(K96+K97+K98))</f>
        <v xml:space="preserve"> </v>
      </c>
      <c r="L125" s="555"/>
      <c r="M125" s="322" t="str">
        <f>IF(M96+M97+M98=0," ",((M88+M89+M90))/(M96+M97+M98))</f>
        <v xml:space="preserve"> </v>
      </c>
      <c r="N125" s="555"/>
      <c r="O125" s="322" t="str">
        <f>IF(O96+O97+O98=0," ",((O88+O89+O90))/(O96+O97+O98))</f>
        <v xml:space="preserve"> </v>
      </c>
      <c r="P125" s="555"/>
      <c r="Q125" s="322" t="str">
        <f>IF(Q96+Q97+Q98=0," ",((Q88+Q89+Q90))/(Q96+Q97+Q98))</f>
        <v xml:space="preserve"> </v>
      </c>
      <c r="R125" s="555"/>
    </row>
    <row r="126" spans="1:18" ht="11.25" customHeight="1" x14ac:dyDescent="0.2">
      <c r="A126" s="213"/>
      <c r="F126" s="546" t="s">
        <v>786</v>
      </c>
      <c r="G126" s="1031" t="s">
        <v>738</v>
      </c>
      <c r="H126" s="1031"/>
      <c r="I126" s="566" t="str">
        <f>IF(I57=0," ",I91/(I100-I101))</f>
        <v xml:space="preserve"> </v>
      </c>
      <c r="J126" s="642"/>
      <c r="K126" s="562" t="str">
        <f>IF(K57=0," ",K91/(K100-K101))</f>
        <v xml:space="preserve"> </v>
      </c>
      <c r="L126" s="561" t="str">
        <f>IF(K57=0," ",K126/I126)</f>
        <v xml:space="preserve"> </v>
      </c>
      <c r="M126" s="562" t="str">
        <f>IF(M57=0," ",M91/(M100-M101))</f>
        <v xml:space="preserve"> </v>
      </c>
      <c r="N126" s="561" t="str">
        <f>IF(M57=0," ",M126/K126)</f>
        <v xml:space="preserve"> </v>
      </c>
      <c r="O126" s="562" t="str">
        <f>IF(O57=0," ",O91/(O100-O101))</f>
        <v xml:space="preserve"> </v>
      </c>
      <c r="P126" s="561" t="str">
        <f>IF(O57=0," ",O126/M126)</f>
        <v xml:space="preserve"> </v>
      </c>
      <c r="Q126" s="562" t="str">
        <f>IF(Q57=0," ",Q91/(Q100-Q101))</f>
        <v xml:space="preserve"> </v>
      </c>
      <c r="R126" s="561" t="str">
        <f>IF(Q57=0," ",Q126/O126)</f>
        <v xml:space="preserve"> </v>
      </c>
    </row>
    <row r="127" spans="1:18" ht="11.25" customHeight="1" thickBot="1" x14ac:dyDescent="0.25">
      <c r="A127" s="213"/>
      <c r="B127" s="592"/>
      <c r="C127" s="592"/>
      <c r="D127" s="592"/>
      <c r="E127" s="592"/>
      <c r="F127" s="585" t="s">
        <v>786</v>
      </c>
      <c r="G127" s="1032" t="s">
        <v>652</v>
      </c>
      <c r="H127" s="1032"/>
      <c r="I127" s="587" t="str">
        <f>IF(I57=0," ",I91/B8_04_3WBFP)</f>
        <v xml:space="preserve"> </v>
      </c>
      <c r="J127" s="724"/>
      <c r="K127" s="581" t="str">
        <f>IF(K57=0," ",K91/B8_04_4WBFP)</f>
        <v xml:space="preserve"> </v>
      </c>
      <c r="L127" s="583" t="str">
        <f>IF(K57=0," ",K127/I127)</f>
        <v xml:space="preserve"> </v>
      </c>
      <c r="M127" s="581" t="str">
        <f>IF(M57=0," ",M91/B8_04_5WBFP)</f>
        <v xml:space="preserve"> </v>
      </c>
      <c r="N127" s="583" t="str">
        <f>IF(M57=0," ",M127/K127)</f>
        <v xml:space="preserve"> </v>
      </c>
      <c r="O127" s="581" t="str">
        <f>IF(O57=0," ",O91/B8_04_6WBFP)</f>
        <v xml:space="preserve"> </v>
      </c>
      <c r="P127" s="583" t="str">
        <f>IF(O57=0," ",O127/M127)</f>
        <v xml:space="preserve"> </v>
      </c>
      <c r="Q127" s="581" t="str">
        <f>IF(Q57=0," ",Q91/B8_04_7WBFP)</f>
        <v xml:space="preserve"> </v>
      </c>
      <c r="R127" s="583" t="str">
        <f>IF(Q57=0," ",Q127/O127)</f>
        <v xml:space="preserve"> </v>
      </c>
    </row>
    <row r="128" spans="1:18" x14ac:dyDescent="0.2">
      <c r="A128" s="213"/>
      <c r="F128" s="546"/>
      <c r="G128" s="611" t="s">
        <v>0</v>
      </c>
      <c r="I128" s="322"/>
      <c r="J128" s="642"/>
      <c r="K128" s="322"/>
      <c r="L128" s="550"/>
      <c r="M128" s="322"/>
      <c r="N128" s="550"/>
      <c r="O128" s="322"/>
      <c r="P128" s="550"/>
      <c r="Q128" s="550"/>
      <c r="R128" s="550"/>
    </row>
    <row r="129" spans="1:18" x14ac:dyDescent="0.2">
      <c r="A129" s="213"/>
      <c r="L129" s="213"/>
      <c r="N129" s="213"/>
      <c r="P129" s="213"/>
      <c r="R129" s="213"/>
    </row>
    <row r="130" spans="1:18" x14ac:dyDescent="0.2">
      <c r="A130" s="213"/>
      <c r="L130" s="213"/>
      <c r="N130" s="213"/>
      <c r="P130" s="213"/>
      <c r="R130" s="213"/>
    </row>
    <row r="131" spans="1:18" ht="14.25" x14ac:dyDescent="0.2">
      <c r="B131" s="213" t="s">
        <v>653</v>
      </c>
      <c r="D131" s="663"/>
      <c r="I131" s="664" t="s">
        <v>288</v>
      </c>
      <c r="J131" s="660"/>
      <c r="K131" s="664" t="s">
        <v>654</v>
      </c>
      <c r="L131" s="664"/>
      <c r="M131" s="664" t="s">
        <v>655</v>
      </c>
      <c r="N131" s="664"/>
      <c r="O131" s="664" t="s">
        <v>656</v>
      </c>
      <c r="P131" s="664"/>
      <c r="Q131" s="664" t="s">
        <v>657</v>
      </c>
    </row>
    <row r="132" spans="1:18" x14ac:dyDescent="0.2">
      <c r="D132" s="611"/>
      <c r="H132" s="546" t="s">
        <v>787</v>
      </c>
      <c r="I132" s="322" t="e">
        <f>IF(I59=0,#N/A,I59)</f>
        <v>#N/A</v>
      </c>
      <c r="K132" s="322" t="e">
        <f>IF(K59=0,#N/A,K59)</f>
        <v>#N/A</v>
      </c>
      <c r="M132" s="322" t="e">
        <f>IF(M59=0,#N/A,M59)</f>
        <v>#N/A</v>
      </c>
      <c r="O132" s="322" t="e">
        <f>IF(O59=0,#N/A,O59)</f>
        <v>#N/A</v>
      </c>
      <c r="Q132" s="322" t="e">
        <f>IF(Q59=0,#N/A,Q59)</f>
        <v>#N/A</v>
      </c>
    </row>
    <row r="133" spans="1:18" x14ac:dyDescent="0.2">
      <c r="D133" s="611"/>
      <c r="H133" s="665" t="s">
        <v>788</v>
      </c>
      <c r="I133" s="322" t="e">
        <f>IF(I30=0,#N/A,I30)</f>
        <v>#N/A</v>
      </c>
      <c r="K133" s="322" t="e">
        <f>IF(K30=0,#N/A,K30)</f>
        <v>#N/A</v>
      </c>
      <c r="M133" s="322" t="e">
        <f>IF(M30=0,#N/A,M30)</f>
        <v>#N/A</v>
      </c>
      <c r="O133" s="322" t="e">
        <f>IF(O30=0,#N/A,O30)</f>
        <v>#N/A</v>
      </c>
      <c r="Q133" s="322" t="e">
        <f>IF(Q30=0,#N/A,Q30)</f>
        <v>#N/A</v>
      </c>
    </row>
    <row r="134" spans="1:18" x14ac:dyDescent="0.2">
      <c r="H134" s="546" t="s">
        <v>660</v>
      </c>
      <c r="I134" s="322" t="e">
        <f>I133*0.75</f>
        <v>#N/A</v>
      </c>
      <c r="K134" s="322" t="e">
        <f>K133*0.8</f>
        <v>#N/A</v>
      </c>
      <c r="M134" s="322" t="e">
        <f>M133*0.85</f>
        <v>#N/A</v>
      </c>
      <c r="O134" s="322" t="e">
        <f>O133*0.9</f>
        <v>#N/A</v>
      </c>
      <c r="Q134" s="322" t="e">
        <f>Q133</f>
        <v>#N/A</v>
      </c>
    </row>
    <row r="135" spans="1:18" x14ac:dyDescent="0.2">
      <c r="H135" s="546" t="s">
        <v>661</v>
      </c>
      <c r="I135" s="322" t="e">
        <f>I133*1.25</f>
        <v>#N/A</v>
      </c>
      <c r="K135" s="322" t="e">
        <f>K133*1.2</f>
        <v>#N/A</v>
      </c>
      <c r="M135" s="322" t="e">
        <f>M133*1.15</f>
        <v>#N/A</v>
      </c>
      <c r="O135" s="322" t="e">
        <f>O133*1.1</f>
        <v>#N/A</v>
      </c>
      <c r="Q135" s="322" t="e">
        <f>Q133</f>
        <v>#N/A</v>
      </c>
    </row>
    <row r="136" spans="1:18" x14ac:dyDescent="0.2">
      <c r="A136" s="213"/>
      <c r="L136" s="213"/>
      <c r="N136" s="213"/>
      <c r="P136" s="213"/>
      <c r="R136" s="213"/>
    </row>
    <row r="137" spans="1:18" x14ac:dyDescent="0.2">
      <c r="A137" s="213"/>
      <c r="L137" s="213"/>
      <c r="N137" s="213"/>
      <c r="P137" s="213"/>
      <c r="R137" s="213"/>
    </row>
    <row r="167" spans="1:14" hidden="1" outlineLevel="1" x14ac:dyDescent="0.2"/>
    <row r="168" spans="1:14" ht="14.25" hidden="1" outlineLevel="1" x14ac:dyDescent="0.2">
      <c r="B168" s="213" t="s">
        <v>653</v>
      </c>
      <c r="D168" s="663"/>
      <c r="I168" s="664"/>
      <c r="J168" s="660"/>
      <c r="K168" s="664"/>
      <c r="L168" s="664"/>
      <c r="M168" s="664"/>
      <c r="N168" s="664"/>
    </row>
    <row r="169" spans="1:14" ht="14.25" hidden="1" outlineLevel="1" x14ac:dyDescent="0.2">
      <c r="A169" s="640"/>
      <c r="B169" s="647"/>
      <c r="C169" s="647"/>
      <c r="D169" s="647"/>
      <c r="E169" s="647"/>
      <c r="F169" s="647"/>
      <c r="G169" s="647"/>
      <c r="H169" s="647" t="s">
        <v>662</v>
      </c>
      <c r="I169" s="647" t="s">
        <v>663</v>
      </c>
      <c r="J169" s="647"/>
      <c r="K169" s="664"/>
      <c r="L169" s="664"/>
      <c r="M169" s="664"/>
      <c r="N169" s="664"/>
    </row>
    <row r="170" spans="1:14" ht="14.25" hidden="1" customHeight="1" outlineLevel="1" x14ac:dyDescent="0.2">
      <c r="A170" s="640"/>
      <c r="B170" s="647"/>
      <c r="C170" s="647"/>
      <c r="D170" s="647"/>
      <c r="E170" s="647"/>
      <c r="F170" s="647"/>
      <c r="G170" s="647"/>
      <c r="H170" s="647" t="s">
        <v>724</v>
      </c>
      <c r="I170" s="647">
        <f t="shared" ref="I170:I175" si="17">K35+M35+O35+Q35</f>
        <v>0</v>
      </c>
      <c r="J170" s="647"/>
      <c r="K170" s="666"/>
      <c r="L170" s="666"/>
      <c r="M170" s="666"/>
      <c r="N170" s="666"/>
    </row>
    <row r="171" spans="1:14" ht="14.25" hidden="1" customHeight="1" outlineLevel="1" x14ac:dyDescent="0.2">
      <c r="A171" s="640"/>
      <c r="B171" s="647"/>
      <c r="C171" s="647"/>
      <c r="D171" s="647"/>
      <c r="E171" s="647"/>
      <c r="F171" s="647"/>
      <c r="G171" s="647"/>
      <c r="H171" s="647" t="s">
        <v>725</v>
      </c>
      <c r="I171" s="647">
        <f t="shared" si="17"/>
        <v>0</v>
      </c>
      <c r="J171" s="647"/>
      <c r="K171" s="666"/>
      <c r="L171" s="666"/>
      <c r="M171" s="666"/>
      <c r="N171" s="666"/>
    </row>
    <row r="172" spans="1:14" ht="14.25" hidden="1" customHeight="1" outlineLevel="1" x14ac:dyDescent="0.2">
      <c r="A172" s="640"/>
      <c r="B172" s="647"/>
      <c r="C172" s="647"/>
      <c r="D172" s="647"/>
      <c r="E172" s="647"/>
      <c r="F172" s="647"/>
      <c r="G172" s="647"/>
      <c r="H172" s="647" t="s">
        <v>726</v>
      </c>
      <c r="I172" s="647">
        <f t="shared" si="17"/>
        <v>0</v>
      </c>
      <c r="J172" s="647"/>
      <c r="K172" s="666"/>
      <c r="L172" s="666"/>
      <c r="M172" s="666"/>
      <c r="N172" s="666"/>
    </row>
    <row r="173" spans="1:14" ht="14.25" hidden="1" outlineLevel="1" x14ac:dyDescent="0.2">
      <c r="A173" s="640"/>
      <c r="B173" s="647"/>
      <c r="C173" s="647"/>
      <c r="D173" s="647"/>
      <c r="E173" s="647"/>
      <c r="F173" s="647"/>
      <c r="G173" s="647"/>
      <c r="H173" s="647" t="s">
        <v>734</v>
      </c>
      <c r="I173" s="647">
        <f t="shared" si="17"/>
        <v>0</v>
      </c>
      <c r="J173" s="647"/>
      <c r="K173" s="665"/>
      <c r="L173" s="665"/>
      <c r="M173" s="665"/>
      <c r="N173" s="665"/>
    </row>
    <row r="174" spans="1:14" ht="14.25" hidden="1" outlineLevel="1" x14ac:dyDescent="0.2">
      <c r="A174" s="640"/>
      <c r="B174" s="647"/>
      <c r="C174" s="647"/>
      <c r="D174" s="647"/>
      <c r="E174" s="647"/>
      <c r="F174" s="647"/>
      <c r="G174" s="647"/>
      <c r="H174" s="647" t="s">
        <v>730</v>
      </c>
      <c r="I174" s="647">
        <f t="shared" si="17"/>
        <v>0</v>
      </c>
      <c r="J174" s="647"/>
      <c r="K174" s="665"/>
      <c r="L174" s="665"/>
      <c r="M174" s="665"/>
      <c r="N174" s="665"/>
    </row>
    <row r="175" spans="1:14" ht="14.25" hidden="1" outlineLevel="1" x14ac:dyDescent="0.2">
      <c r="A175" s="640"/>
      <c r="B175" s="647"/>
      <c r="C175" s="647"/>
      <c r="D175" s="647"/>
      <c r="E175" s="647"/>
      <c r="F175" s="647"/>
      <c r="G175" s="647"/>
      <c r="H175" s="647" t="s">
        <v>731</v>
      </c>
      <c r="I175" s="647">
        <f t="shared" si="17"/>
        <v>0</v>
      </c>
      <c r="J175" s="647"/>
      <c r="K175" s="665"/>
      <c r="L175" s="665"/>
      <c r="M175" s="665"/>
      <c r="N175" s="665"/>
    </row>
    <row r="176" spans="1:14" ht="14.25" hidden="1" outlineLevel="1" x14ac:dyDescent="0.2">
      <c r="A176" s="640"/>
      <c r="B176" s="647"/>
      <c r="C176" s="647"/>
      <c r="D176" s="647"/>
      <c r="E176" s="647"/>
      <c r="F176" s="647"/>
      <c r="G176" s="647"/>
      <c r="H176" s="647" t="s">
        <v>732</v>
      </c>
      <c r="I176" s="647">
        <f>K42+M42+O42+Q42</f>
        <v>0</v>
      </c>
      <c r="J176" s="647"/>
      <c r="K176" s="665"/>
      <c r="L176" s="665"/>
      <c r="M176" s="665"/>
      <c r="N176" s="665"/>
    </row>
    <row r="177" spans="1:14" ht="14.25" hidden="1" outlineLevel="1" x14ac:dyDescent="0.2">
      <c r="A177" s="640"/>
      <c r="B177" s="647"/>
      <c r="C177" s="647"/>
      <c r="D177" s="647"/>
      <c r="E177" s="647"/>
      <c r="F177" s="647"/>
      <c r="G177" s="647"/>
      <c r="H177" s="647" t="s">
        <v>733</v>
      </c>
      <c r="I177" s="647">
        <f>K43+M43+O43+Q43</f>
        <v>0</v>
      </c>
      <c r="J177" s="647"/>
      <c r="K177" s="665"/>
      <c r="L177" s="665"/>
      <c r="M177" s="665"/>
      <c r="N177" s="665"/>
    </row>
    <row r="178" spans="1:14" ht="14.25" hidden="1" outlineLevel="1" x14ac:dyDescent="0.2">
      <c r="A178" s="640"/>
      <c r="B178" s="647"/>
      <c r="C178" s="647"/>
      <c r="D178" s="647"/>
      <c r="E178" s="647"/>
      <c r="F178" s="647"/>
      <c r="G178" s="647"/>
      <c r="H178" s="647"/>
      <c r="I178" s="647">
        <f>K44+M44+O44+Q44</f>
        <v>0</v>
      </c>
      <c r="J178" s="647"/>
      <c r="K178" s="665"/>
      <c r="L178" s="665"/>
      <c r="M178" s="665"/>
      <c r="N178" s="665"/>
    </row>
    <row r="179" spans="1:14" ht="14.25" hidden="1" outlineLevel="1" x14ac:dyDescent="0.2">
      <c r="A179" s="640"/>
      <c r="B179" s="647"/>
      <c r="C179" s="647"/>
      <c r="D179" s="647"/>
      <c r="E179" s="647"/>
      <c r="F179" s="647"/>
      <c r="G179" s="647"/>
      <c r="H179" s="647" t="s">
        <v>728</v>
      </c>
      <c r="I179" s="647">
        <f>K45+M45+O45+Q45</f>
        <v>0</v>
      </c>
      <c r="J179" s="647"/>
      <c r="K179" s="665"/>
      <c r="L179" s="665"/>
      <c r="M179" s="665"/>
      <c r="N179" s="665"/>
    </row>
    <row r="180" spans="1:14" ht="14.25" hidden="1" outlineLevel="1" x14ac:dyDescent="0.2">
      <c r="A180" s="640"/>
      <c r="B180" s="647"/>
      <c r="C180" s="647"/>
      <c r="D180" s="647"/>
      <c r="E180" s="647"/>
      <c r="F180" s="647"/>
      <c r="G180" s="647"/>
      <c r="H180" s="647" t="s">
        <v>664</v>
      </c>
      <c r="I180" s="647">
        <f>K47+M47+O47+Q47</f>
        <v>0</v>
      </c>
      <c r="J180" s="647"/>
      <c r="K180" s="664"/>
      <c r="L180" s="664"/>
      <c r="M180" s="664"/>
      <c r="N180" s="664"/>
    </row>
    <row r="181" spans="1:14" hidden="1" outlineLevel="1" x14ac:dyDescent="0.2"/>
    <row r="182" spans="1:14" hidden="1" outlineLevel="1" x14ac:dyDescent="0.2"/>
    <row r="183" spans="1:14" hidden="1" outlineLevel="1" x14ac:dyDescent="0.2"/>
    <row r="184" spans="1:14" hidden="1" outlineLevel="1" x14ac:dyDescent="0.2"/>
    <row r="185" spans="1:14" hidden="1" outlineLevel="1" x14ac:dyDescent="0.2"/>
    <row r="186" spans="1:14" hidden="1" outlineLevel="1" x14ac:dyDescent="0.2"/>
    <row r="187" spans="1:14" hidden="1" outlineLevel="1" x14ac:dyDescent="0.2"/>
    <row r="188" spans="1:14" hidden="1" outlineLevel="1" x14ac:dyDescent="0.2"/>
    <row r="189" spans="1:14" hidden="1" outlineLevel="1" x14ac:dyDescent="0.2"/>
    <row r="190" spans="1:14" hidden="1" outlineLevel="1" x14ac:dyDescent="0.2"/>
    <row r="191" spans="1:14" hidden="1" outlineLevel="1" x14ac:dyDescent="0.2"/>
    <row r="192" spans="1:14" hidden="1" outlineLevel="1" x14ac:dyDescent="0.2"/>
    <row r="193" hidden="1" outlineLevel="1" x14ac:dyDescent="0.2"/>
    <row r="194" hidden="1" outlineLevel="1" x14ac:dyDescent="0.2"/>
    <row r="195" hidden="1" outlineLevel="1" x14ac:dyDescent="0.2"/>
    <row r="196" hidden="1" outlineLevel="1" x14ac:dyDescent="0.2"/>
    <row r="197" hidden="1" outlineLevel="1" x14ac:dyDescent="0.2"/>
    <row r="198" hidden="1" outlineLevel="1" x14ac:dyDescent="0.2"/>
    <row r="199" hidden="1" outlineLevel="1" x14ac:dyDescent="0.2"/>
    <row r="200" hidden="1" outlineLevel="1" x14ac:dyDescent="0.2"/>
    <row r="201" hidden="1" outlineLevel="1" x14ac:dyDescent="0.2"/>
    <row r="202" hidden="1" outlineLevel="1" x14ac:dyDescent="0.2"/>
    <row r="203" hidden="1" outlineLevel="1" x14ac:dyDescent="0.2"/>
    <row r="204" hidden="1" outlineLevel="1" x14ac:dyDescent="0.2"/>
    <row r="205" hidden="1" outlineLevel="1" x14ac:dyDescent="0.2"/>
    <row r="206" hidden="1" outlineLevel="1" x14ac:dyDescent="0.2"/>
    <row r="207" hidden="1" outlineLevel="1" x14ac:dyDescent="0.2"/>
    <row r="208" hidden="1" outlineLevel="1" x14ac:dyDescent="0.2"/>
    <row r="209" hidden="1" outlineLevel="1" x14ac:dyDescent="0.2"/>
    <row r="210" hidden="1" outlineLevel="1" x14ac:dyDescent="0.2"/>
    <row r="211" hidden="1" outlineLevel="1" x14ac:dyDescent="0.2"/>
    <row r="212" hidden="1" outlineLevel="1" x14ac:dyDescent="0.2"/>
    <row r="213" hidden="1" outlineLevel="1" x14ac:dyDescent="0.2"/>
    <row r="214" hidden="1" outlineLevel="1" x14ac:dyDescent="0.2"/>
    <row r="215" hidden="1" outlineLevel="1" x14ac:dyDescent="0.2"/>
    <row r="216" hidden="1" outlineLevel="1" x14ac:dyDescent="0.2"/>
    <row r="217" hidden="1" outlineLevel="1" x14ac:dyDescent="0.2"/>
    <row r="218" hidden="1" outlineLevel="1" x14ac:dyDescent="0.2"/>
    <row r="219" hidden="1" outlineLevel="1" x14ac:dyDescent="0.2"/>
    <row r="220" hidden="1" outlineLevel="1" x14ac:dyDescent="0.2"/>
    <row r="221" collapsed="1" x14ac:dyDescent="0.2"/>
  </sheetData>
  <sheetProtection selectLockedCells="1"/>
  <customSheetViews>
    <customSheetView guid="{1B6E5C62-D61A-47DD-A4A2-485ADD59D1CD}" showPageBreaks="1" printArea="1" hiddenRows="1" hiddenColumns="1">
      <selection activeCell="B50" sqref="B50"/>
      <pageMargins left="0.7" right="0.7" top="0.78740157499999996" bottom="0.67" header="0.3" footer="0.3"/>
      <pageSetup paperSize="9" orientation="landscape" verticalDpi="2" r:id="rId1"/>
    </customSheetView>
    <customSheetView guid="{1E00AB2B-C042-4EFC-A145-7C4B4752408A}" showPageBreaks="1" showFormulas="1" printArea="1" hiddenRows="1" hiddenColumns="1" topLeftCell="F60">
      <selection activeCell="O91" sqref="O91"/>
      <pageMargins left="0.7" right="0.7" top="0.78740157499999996" bottom="0.67" header="0.3" footer="0.3"/>
      <pageSetup paperSize="9" orientation="landscape" verticalDpi="2" r:id="rId2"/>
    </customSheetView>
  </customSheetViews>
  <mergeCells count="42">
    <mergeCell ref="D96:E96"/>
    <mergeCell ref="D97:E97"/>
    <mergeCell ref="D98:E98"/>
    <mergeCell ref="F36:J36"/>
    <mergeCell ref="F35:J35"/>
    <mergeCell ref="F37:J37"/>
    <mergeCell ref="F38:J38"/>
    <mergeCell ref="G100:H100"/>
    <mergeCell ref="G99:H99"/>
    <mergeCell ref="G96:H96"/>
    <mergeCell ref="G97:H97"/>
    <mergeCell ref="G98:H98"/>
    <mergeCell ref="G111:H111"/>
    <mergeCell ref="G112:H112"/>
    <mergeCell ref="G113:H113"/>
    <mergeCell ref="G102:H102"/>
    <mergeCell ref="G101:H101"/>
    <mergeCell ref="G105:H105"/>
    <mergeCell ref="G110:H110"/>
    <mergeCell ref="G106:H106"/>
    <mergeCell ref="G107:H107"/>
    <mergeCell ref="G108:H108"/>
    <mergeCell ref="B30:C30"/>
    <mergeCell ref="F49:R49"/>
    <mergeCell ref="D94:E94"/>
    <mergeCell ref="G94:H94"/>
    <mergeCell ref="B76:C76"/>
    <mergeCell ref="B79:C79"/>
    <mergeCell ref="B31:D31"/>
    <mergeCell ref="B32:D32"/>
    <mergeCell ref="F39:J39"/>
    <mergeCell ref="F40:J40"/>
    <mergeCell ref="F42:J42"/>
    <mergeCell ref="F43:J43"/>
    <mergeCell ref="F45:J45"/>
    <mergeCell ref="G123:H123"/>
    <mergeCell ref="G124:H124"/>
    <mergeCell ref="G126:H126"/>
    <mergeCell ref="G127:H127"/>
    <mergeCell ref="G121:H121"/>
    <mergeCell ref="G122:H122"/>
    <mergeCell ref="G125:H125"/>
  </mergeCells>
  <phoneticPr fontId="12" type="noConversion"/>
  <conditionalFormatting sqref="I67:Q67 I3:Q3">
    <cfRule type="cellIs" dxfId="26" priority="16" operator="equal">
      <formula>0</formula>
    </cfRule>
  </conditionalFormatting>
  <conditionalFormatting sqref="M11:R24">
    <cfRule type="cellIs" dxfId="25" priority="14" operator="equal">
      <formula>0</formula>
    </cfRule>
  </conditionalFormatting>
  <conditionalFormatting sqref="I7:Q9">
    <cfRule type="cellIs" dxfId="24" priority="13" operator="equal">
      <formula>0</formula>
    </cfRule>
  </conditionalFormatting>
  <conditionalFormatting sqref="I25:R29">
    <cfRule type="cellIs" dxfId="23" priority="12" operator="equal">
      <formula>0</formula>
    </cfRule>
  </conditionalFormatting>
  <conditionalFormatting sqref="I31:R31">
    <cfRule type="cellIs" dxfId="22" priority="11" operator="equal">
      <formula>0</formula>
    </cfRule>
  </conditionalFormatting>
  <conditionalFormatting sqref="I10:R10">
    <cfRule type="cellIs" dxfId="21" priority="10" operator="equal">
      <formula>0</formula>
    </cfRule>
  </conditionalFormatting>
  <conditionalFormatting sqref="I30:R30">
    <cfRule type="cellIs" dxfId="20" priority="9" operator="equal">
      <formula>0</formula>
    </cfRule>
  </conditionalFormatting>
  <conditionalFormatting sqref="I32:R32">
    <cfRule type="cellIs" dxfId="19" priority="8" operator="equal">
      <formula>0</formula>
    </cfRule>
  </conditionalFormatting>
  <conditionalFormatting sqref="K35:R47">
    <cfRule type="cellIs" dxfId="18" priority="7" operator="equal">
      <formula>0</formula>
    </cfRule>
  </conditionalFormatting>
  <conditionalFormatting sqref="K34:R34">
    <cfRule type="cellIs" dxfId="17" priority="6" operator="equal">
      <formula>0</formula>
    </cfRule>
  </conditionalFormatting>
  <conditionalFormatting sqref="I52:R60">
    <cfRule type="cellIs" dxfId="16" priority="4" operator="equal">
      <formula>0</formula>
    </cfRule>
  </conditionalFormatting>
  <conditionalFormatting sqref="I94:R102">
    <cfRule type="cellIs" dxfId="15" priority="3" operator="equal">
      <formula>0</formula>
    </cfRule>
  </conditionalFormatting>
  <conditionalFormatting sqref="I76:R76">
    <cfRule type="cellIs" dxfId="14" priority="2" operator="equal">
      <formula>0</formula>
    </cfRule>
  </conditionalFormatting>
  <conditionalFormatting sqref="I79:R79">
    <cfRule type="cellIs" dxfId="13" priority="1" operator="equal">
      <formula>0</formula>
    </cfRule>
  </conditionalFormatting>
  <pageMargins left="0.70866141732283472" right="0.51181102362204722" top="0.78740157480314965" bottom="0.6692913385826772" header="0.31496062992125984" footer="0.31496062992125984"/>
  <pageSetup paperSize="9" scale="78" orientation="landscape" verticalDpi="2" r:id="rId3"/>
  <rowBreaks count="1" manualBreakCount="1">
    <brk id="61" max="16383"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0" tint="-0.249977111117893"/>
  </sheetPr>
  <dimension ref="A1:U77"/>
  <sheetViews>
    <sheetView showGridLines="0" topLeftCell="A7" zoomScaleNormal="100" workbookViewId="0">
      <selection activeCell="D5" sqref="D5:L5"/>
    </sheetView>
  </sheetViews>
  <sheetFormatPr baseColWidth="10" defaultColWidth="8.28515625" defaultRowHeight="12" outlineLevelCol="1" x14ac:dyDescent="0.2"/>
  <cols>
    <col min="1" max="1" width="2.7109375" style="1" customWidth="1"/>
    <col min="2" max="3" width="3.5703125" style="2" customWidth="1"/>
    <col min="4" max="4" width="30.7109375" style="2" customWidth="1"/>
    <col min="5" max="5" width="16.42578125" style="9" customWidth="1"/>
    <col min="6" max="6" width="12.85546875" style="9" customWidth="1"/>
    <col min="7" max="7" width="4.28515625" style="2" customWidth="1"/>
    <col min="8" max="8" width="5" style="2" customWidth="1"/>
    <col min="9" max="9" width="12.85546875" style="2" customWidth="1"/>
    <col min="10" max="10" width="5.5703125" style="2" customWidth="1"/>
    <col min="11" max="11" width="12.85546875" style="2" customWidth="1"/>
    <col min="12" max="12" width="5.5703125" style="47" customWidth="1"/>
    <col min="13" max="13" width="12.85546875" style="2" customWidth="1"/>
    <col min="14" max="14" width="5.5703125" style="47" customWidth="1"/>
    <col min="15" max="15" width="12.85546875" style="2" customWidth="1"/>
    <col min="16" max="16" width="5.5703125" style="47" customWidth="1"/>
    <col min="17" max="17" width="12.85546875" style="2" customWidth="1" outlineLevel="1"/>
    <col min="18" max="18" width="5.5703125" style="31" customWidth="1" outlineLevel="1"/>
    <col min="19" max="19" width="2.5703125" style="2" customWidth="1"/>
    <col min="20" max="16384" width="8.28515625" style="2"/>
  </cols>
  <sheetData>
    <row r="1" spans="1:21" ht="11.25" customHeight="1" x14ac:dyDescent="0.2">
      <c r="A1" s="2"/>
      <c r="B1" s="3" t="s">
        <v>78</v>
      </c>
      <c r="I1" s="47" t="s">
        <v>284</v>
      </c>
      <c r="J1" s="47"/>
      <c r="K1" s="47" t="str">
        <f>Eingabe!J1</f>
        <v>Vorprojekt</v>
      </c>
      <c r="M1" s="47" t="str">
        <f>Eingabe!K1</f>
        <v>Vorprojekt</v>
      </c>
      <c r="O1" s="47" t="str">
        <f>Eingabe!L1</f>
        <v>Bauprojekt</v>
      </c>
      <c r="Q1" s="47" t="str">
        <f>Eingabe!M1</f>
        <v>Schluss-</v>
      </c>
    </row>
    <row r="2" spans="1:21" ht="11.25" customHeight="1" x14ac:dyDescent="0.2">
      <c r="A2" s="2"/>
      <c r="B2" s="1">
        <f>Eingabe!G4</f>
        <v>0</v>
      </c>
      <c r="C2" s="1"/>
      <c r="D2" s="1"/>
      <c r="E2" s="44"/>
      <c r="F2" s="44"/>
      <c r="G2" s="1"/>
      <c r="H2" s="1"/>
      <c r="I2" s="48" t="s">
        <v>286</v>
      </c>
      <c r="J2" s="48"/>
      <c r="K2" s="48" t="str">
        <f>Eingabe!J2</f>
        <v>KGS</v>
      </c>
      <c r="L2" s="48"/>
      <c r="M2" s="48" t="str">
        <f>Eingabe!K2</f>
        <v>KS</v>
      </c>
      <c r="N2" s="48"/>
      <c r="O2" s="48" t="str">
        <f>Eingabe!L2</f>
        <v>KV</v>
      </c>
      <c r="P2" s="48"/>
      <c r="Q2" s="48" t="str">
        <f>Eingabe!M2</f>
        <v>abrechnung</v>
      </c>
      <c r="R2" s="243"/>
    </row>
    <row r="3" spans="1:21" ht="11.25" customHeight="1" x14ac:dyDescent="0.2">
      <c r="A3" s="2"/>
      <c r="B3" s="1"/>
      <c r="C3" s="1"/>
      <c r="D3" s="1"/>
      <c r="E3" s="44"/>
      <c r="F3" s="44"/>
      <c r="G3" s="147" t="s">
        <v>141</v>
      </c>
      <c r="H3" s="1"/>
      <c r="I3" s="154">
        <f>Eingabe!I3</f>
        <v>0</v>
      </c>
      <c r="J3" s="48"/>
      <c r="K3" s="154">
        <f>Eingabe!J3</f>
        <v>0</v>
      </c>
      <c r="L3" s="48"/>
      <c r="M3" s="154">
        <f>Eingabe!K3</f>
        <v>0</v>
      </c>
      <c r="N3" s="48"/>
      <c r="O3" s="154">
        <f>Eingabe!L3</f>
        <v>0</v>
      </c>
      <c r="P3" s="48"/>
      <c r="Q3" s="154">
        <f>Eingabe!M3</f>
        <v>0</v>
      </c>
      <c r="R3" s="243"/>
    </row>
    <row r="4" spans="1:21" ht="11.25" customHeight="1" thickBot="1" x14ac:dyDescent="0.25">
      <c r="A4" s="2"/>
      <c r="B4" s="3" t="s">
        <v>71</v>
      </c>
      <c r="D4" s="3"/>
      <c r="E4" s="11"/>
      <c r="F4" s="11"/>
      <c r="G4" s="147" t="s">
        <v>115</v>
      </c>
      <c r="H4" s="147"/>
      <c r="I4" s="173">
        <f>B8_04_3KOIN</f>
        <v>0</v>
      </c>
      <c r="J4" s="383"/>
      <c r="K4" s="173">
        <f>B8_04_4KOIN</f>
        <v>0</v>
      </c>
      <c r="M4" s="173">
        <f>B8_04_5KOIN</f>
        <v>0</v>
      </c>
      <c r="O4" s="173">
        <f>B8_04_6KOIN</f>
        <v>0</v>
      </c>
      <c r="Q4" s="173">
        <f>B8_04_7KOIN</f>
        <v>0</v>
      </c>
    </row>
    <row r="5" spans="1:21" ht="15.75" hidden="1" customHeight="1" x14ac:dyDescent="0.2">
      <c r="A5" s="2"/>
      <c r="B5" s="3"/>
      <c r="D5" s="3"/>
      <c r="E5" s="11"/>
      <c r="F5" s="11"/>
      <c r="G5" s="147"/>
      <c r="H5" s="147"/>
      <c r="I5" s="382" t="str">
        <f>MID(I4,7,7)</f>
        <v/>
      </c>
      <c r="K5" s="382" t="str">
        <f>MID(K4,7,7)</f>
        <v/>
      </c>
      <c r="M5" s="382" t="str">
        <f>MID(M4,7,7)</f>
        <v/>
      </c>
      <c r="O5" s="382" t="str">
        <f>MID(O4,7,7)</f>
        <v/>
      </c>
      <c r="Q5" s="382" t="str">
        <f>MID(Q4,7,7)</f>
        <v/>
      </c>
    </row>
    <row r="6" spans="1:21" ht="11.25" customHeight="1" x14ac:dyDescent="0.2">
      <c r="A6" s="2"/>
      <c r="B6" s="455" t="s">
        <v>18</v>
      </c>
      <c r="C6" s="456"/>
      <c r="D6" s="456" t="s">
        <v>1</v>
      </c>
      <c r="E6" s="457"/>
      <c r="F6" s="458"/>
      <c r="G6" s="459"/>
      <c r="H6" s="460" t="s">
        <v>2</v>
      </c>
      <c r="I6" s="460" t="s">
        <v>28</v>
      </c>
      <c r="J6" s="460"/>
      <c r="K6" s="460" t="s">
        <v>28</v>
      </c>
      <c r="L6" s="461"/>
      <c r="M6" s="460" t="s">
        <v>28</v>
      </c>
      <c r="N6" s="461"/>
      <c r="O6" s="460" t="s">
        <v>28</v>
      </c>
      <c r="P6" s="461"/>
      <c r="Q6" s="460" t="s">
        <v>28</v>
      </c>
      <c r="R6" s="462"/>
    </row>
    <row r="7" spans="1:21" ht="11.25" customHeight="1" x14ac:dyDescent="0.2">
      <c r="A7" s="2"/>
      <c r="B7" s="463"/>
      <c r="C7" s="464"/>
      <c r="D7" s="98"/>
      <c r="E7" s="464"/>
      <c r="F7" s="99"/>
      <c r="G7" s="100"/>
      <c r="H7" s="16"/>
      <c r="I7" s="16"/>
      <c r="J7" s="16"/>
      <c r="K7" s="16"/>
      <c r="L7" s="465"/>
      <c r="M7" s="16"/>
      <c r="N7" s="465"/>
      <c r="O7" s="16"/>
      <c r="P7" s="465"/>
      <c r="Q7" s="16"/>
      <c r="R7" s="466"/>
    </row>
    <row r="8" spans="1:21" ht="11.25" customHeight="1" x14ac:dyDescent="0.2">
      <c r="B8" s="1048" t="s">
        <v>364</v>
      </c>
      <c r="C8" s="1049"/>
      <c r="D8" s="467" t="s">
        <v>111</v>
      </c>
      <c r="E8" s="410"/>
      <c r="F8" s="468"/>
      <c r="G8" s="24"/>
      <c r="H8" s="24" t="s">
        <v>19</v>
      </c>
      <c r="I8" s="469">
        <f>Kostenentwicklung!I30</f>
        <v>0</v>
      </c>
      <c r="J8" s="469"/>
      <c r="K8" s="469">
        <f>Kostenentwicklung!K30</f>
        <v>0</v>
      </c>
      <c r="L8" s="469"/>
      <c r="M8" s="469">
        <f>Kostenentwicklung!M30</f>
        <v>0</v>
      </c>
      <c r="N8" s="469"/>
      <c r="O8" s="469">
        <f>Kostenentwicklung!O30</f>
        <v>0</v>
      </c>
      <c r="P8" s="469"/>
      <c r="Q8" s="469">
        <f>Kostenentwicklung!Q30</f>
        <v>0</v>
      </c>
      <c r="R8" s="470"/>
    </row>
    <row r="9" spans="1:21" x14ac:dyDescent="0.2">
      <c r="A9" s="2"/>
      <c r="B9" s="412"/>
      <c r="C9" s="413"/>
      <c r="D9" s="400"/>
      <c r="E9" s="400"/>
      <c r="F9" s="400"/>
      <c r="G9" s="454"/>
      <c r="H9" s="483"/>
      <c r="I9" s="483"/>
      <c r="J9" s="483"/>
      <c r="K9" s="483"/>
      <c r="L9" s="483"/>
      <c r="M9" s="483"/>
      <c r="N9" s="483"/>
      <c r="O9" s="483"/>
      <c r="P9" s="483"/>
      <c r="Q9" s="483"/>
      <c r="R9" s="484"/>
    </row>
    <row r="10" spans="1:21" ht="11.25" customHeight="1" thickBot="1" x14ac:dyDescent="0.25">
      <c r="A10" s="2"/>
      <c r="B10" s="1054" t="s">
        <v>364</v>
      </c>
      <c r="C10" s="1055"/>
      <c r="D10" s="479" t="s">
        <v>714</v>
      </c>
      <c r="E10" s="411"/>
      <c r="F10" s="480"/>
      <c r="G10" s="416"/>
      <c r="H10" s="416" t="s">
        <v>19</v>
      </c>
      <c r="I10" s="481">
        <f>B8_04_3ZIPH</f>
        <v>0</v>
      </c>
      <c r="J10" s="481"/>
      <c r="K10" s="481">
        <f>B8_04_4ZIPH</f>
        <v>0</v>
      </c>
      <c r="L10" s="481"/>
      <c r="M10" s="481">
        <f>B8_04_5ZIPH</f>
        <v>0</v>
      </c>
      <c r="N10" s="481"/>
      <c r="O10" s="481">
        <f>B8_04_6ZIPH</f>
        <v>0</v>
      </c>
      <c r="P10" s="481"/>
      <c r="Q10" s="481">
        <f>B8_04_7ZIPH</f>
        <v>0</v>
      </c>
      <c r="R10" s="482"/>
    </row>
    <row r="11" spans="1:21" x14ac:dyDescent="0.2">
      <c r="A11" s="2"/>
      <c r="G11" s="9"/>
      <c r="H11" s="9"/>
      <c r="I11" s="9"/>
      <c r="J11" s="9"/>
      <c r="K11" s="9"/>
      <c r="L11" s="9"/>
      <c r="M11" s="9"/>
      <c r="N11" s="9"/>
      <c r="O11" s="9"/>
      <c r="P11" s="9"/>
      <c r="Q11" s="9"/>
      <c r="R11" s="9"/>
      <c r="S11" s="9"/>
      <c r="T11" s="9"/>
      <c r="U11" s="9"/>
    </row>
    <row r="12" spans="1:21" s="268" customFormat="1" ht="0.75" customHeight="1" x14ac:dyDescent="0.2">
      <c r="E12" s="213"/>
      <c r="F12" s="213"/>
      <c r="G12" s="213"/>
      <c r="H12" s="213"/>
      <c r="I12" s="213"/>
      <c r="J12" s="213"/>
      <c r="K12" s="213"/>
      <c r="L12" s="213"/>
      <c r="M12" s="213"/>
      <c r="N12" s="213"/>
      <c r="O12" s="213"/>
      <c r="P12" s="213"/>
      <c r="Q12" s="213"/>
      <c r="R12" s="213"/>
      <c r="S12" s="213"/>
      <c r="T12" s="213"/>
      <c r="U12" s="213"/>
    </row>
    <row r="13" spans="1:21" s="268" customFormat="1" ht="0.75" customHeight="1" x14ac:dyDescent="0.2">
      <c r="A13" s="185"/>
      <c r="B13" s="268" t="s">
        <v>653</v>
      </c>
      <c r="D13" s="471"/>
      <c r="E13" s="213"/>
      <c r="F13" s="213"/>
      <c r="I13" s="472" t="s">
        <v>288</v>
      </c>
      <c r="J13" s="473"/>
      <c r="K13" s="472" t="s">
        <v>707</v>
      </c>
      <c r="L13" s="472"/>
      <c r="M13" s="472" t="s">
        <v>655</v>
      </c>
      <c r="N13" s="472"/>
      <c r="O13" s="472" t="s">
        <v>656</v>
      </c>
      <c r="P13" s="472"/>
      <c r="Q13" s="472" t="s">
        <v>657</v>
      </c>
      <c r="R13" s="474"/>
    </row>
    <row r="14" spans="1:21" s="268" customFormat="1" ht="0.75" customHeight="1" x14ac:dyDescent="0.2">
      <c r="A14" s="185"/>
      <c r="D14" s="475"/>
      <c r="E14" s="213"/>
      <c r="F14" s="213"/>
      <c r="H14" s="476" t="s">
        <v>658</v>
      </c>
      <c r="I14" s="477" t="e">
        <f>IF(I10=0,#N/A,I10)</f>
        <v>#N/A</v>
      </c>
      <c r="K14" s="477" t="e">
        <f>IF(K10=0,#N/A,K10)</f>
        <v>#N/A</v>
      </c>
      <c r="L14" s="384"/>
      <c r="M14" s="477" t="e">
        <f>IF(M10=0,#N/A,M10)</f>
        <v>#N/A</v>
      </c>
      <c r="N14" s="384"/>
      <c r="O14" s="477" t="e">
        <f>IF(O10=0,#N/A,O10)</f>
        <v>#N/A</v>
      </c>
      <c r="P14" s="384"/>
      <c r="Q14" s="477" t="e">
        <f>O14</f>
        <v>#N/A</v>
      </c>
      <c r="R14" s="474"/>
    </row>
    <row r="15" spans="1:21" s="268" customFormat="1" ht="0.75" customHeight="1" x14ac:dyDescent="0.2">
      <c r="A15" s="185"/>
      <c r="D15" s="475"/>
      <c r="E15" s="213"/>
      <c r="F15" s="213"/>
      <c r="H15" s="478" t="s">
        <v>659</v>
      </c>
      <c r="I15" s="477" t="e">
        <f>IF(I8=0,#N/A,I8)</f>
        <v>#N/A</v>
      </c>
      <c r="K15" s="477" t="e">
        <f>IF(K8=0,#N/A,K8)</f>
        <v>#N/A</v>
      </c>
      <c r="L15" s="384"/>
      <c r="M15" s="477" t="e">
        <f>IF(M8=0,#N/A,M8)</f>
        <v>#N/A</v>
      </c>
      <c r="N15" s="384"/>
      <c r="O15" s="477" t="e">
        <f>IF(O8=0,#N/A,O8)</f>
        <v>#N/A</v>
      </c>
      <c r="P15" s="384"/>
      <c r="Q15" s="477" t="e">
        <f>IF(Q8=0,#N/A,Q8)</f>
        <v>#N/A</v>
      </c>
      <c r="R15" s="474"/>
    </row>
    <row r="16" spans="1:21" s="268" customFormat="1" ht="0.75" customHeight="1" x14ac:dyDescent="0.2">
      <c r="A16" s="185"/>
      <c r="E16" s="213"/>
      <c r="F16" s="213"/>
      <c r="H16" s="476" t="s">
        <v>660</v>
      </c>
      <c r="I16" s="477" t="e">
        <f>I15*0.75</f>
        <v>#N/A</v>
      </c>
      <c r="K16" s="477" t="e">
        <f>K15*0.8</f>
        <v>#N/A</v>
      </c>
      <c r="L16" s="384"/>
      <c r="M16" s="477" t="e">
        <f>M15*0.85</f>
        <v>#N/A</v>
      </c>
      <c r="N16" s="384"/>
      <c r="O16" s="477" t="e">
        <f>O15*0.9</f>
        <v>#N/A</v>
      </c>
      <c r="P16" s="384"/>
      <c r="Q16" s="477" t="e">
        <f>Q15</f>
        <v>#N/A</v>
      </c>
      <c r="R16" s="474"/>
    </row>
    <row r="17" spans="1:21" s="268" customFormat="1" ht="0.75" customHeight="1" x14ac:dyDescent="0.2">
      <c r="A17" s="185"/>
      <c r="E17" s="213"/>
      <c r="F17" s="213"/>
      <c r="H17" s="476" t="s">
        <v>661</v>
      </c>
      <c r="I17" s="477" t="e">
        <f>I15*1.25</f>
        <v>#N/A</v>
      </c>
      <c r="K17" s="477" t="e">
        <f>K15*1.2</f>
        <v>#N/A</v>
      </c>
      <c r="L17" s="384"/>
      <c r="M17" s="477" t="e">
        <f>M15*1.15</f>
        <v>#N/A</v>
      </c>
      <c r="N17" s="384"/>
      <c r="O17" s="477" t="e">
        <f>O15*1.1</f>
        <v>#N/A</v>
      </c>
      <c r="P17" s="384"/>
      <c r="Q17" s="477" t="e">
        <f>Q15</f>
        <v>#N/A</v>
      </c>
      <c r="R17" s="474"/>
    </row>
    <row r="18" spans="1:21" s="268" customFormat="1" x14ac:dyDescent="0.2">
      <c r="E18" s="213"/>
      <c r="F18" s="213"/>
      <c r="G18" s="213"/>
      <c r="H18" s="213"/>
      <c r="I18" s="213"/>
      <c r="J18" s="213"/>
      <c r="K18" s="213"/>
      <c r="L18" s="213"/>
      <c r="M18" s="213"/>
      <c r="N18" s="213"/>
      <c r="O18" s="213"/>
      <c r="P18" s="213"/>
      <c r="Q18" s="213"/>
      <c r="R18" s="213"/>
      <c r="S18" s="213"/>
      <c r="T18" s="213"/>
      <c r="U18" s="213"/>
    </row>
    <row r="19" spans="1:21" x14ac:dyDescent="0.2">
      <c r="A19" s="2"/>
      <c r="G19" s="9"/>
      <c r="H19" s="9"/>
      <c r="I19" s="9"/>
      <c r="J19" s="9"/>
      <c r="K19" s="9"/>
      <c r="L19" s="9"/>
      <c r="M19" s="9"/>
      <c r="N19" s="9"/>
      <c r="O19" s="9"/>
      <c r="P19" s="9"/>
      <c r="Q19" s="9"/>
      <c r="R19" s="9"/>
      <c r="S19" s="9"/>
      <c r="T19" s="9"/>
      <c r="U19" s="9"/>
    </row>
    <row r="60" spans="1:18" ht="8.25" customHeight="1" x14ac:dyDescent="0.2"/>
    <row r="61" spans="1:18" ht="11.25" customHeight="1" x14ac:dyDescent="0.2">
      <c r="A61" s="2"/>
      <c r="B61" s="3" t="s">
        <v>78</v>
      </c>
    </row>
    <row r="62" spans="1:18" ht="11.25" customHeight="1" x14ac:dyDescent="0.2">
      <c r="A62" s="2"/>
      <c r="B62" s="1">
        <f>Eingabe!G4</f>
        <v>0</v>
      </c>
      <c r="C62" s="1"/>
      <c r="D62" s="1"/>
      <c r="E62" s="44"/>
      <c r="R62" s="243"/>
    </row>
    <row r="63" spans="1:18" ht="11.25" customHeight="1" x14ac:dyDescent="0.2">
      <c r="A63" s="2"/>
      <c r="B63" s="1"/>
      <c r="C63" s="1"/>
      <c r="D63" s="1"/>
      <c r="E63" s="44"/>
      <c r="R63" s="243"/>
    </row>
    <row r="64" spans="1:18" ht="12.75" thickBot="1" x14ac:dyDescent="0.25">
      <c r="A64" s="2"/>
      <c r="B64" s="3" t="s">
        <v>692</v>
      </c>
      <c r="D64" s="3"/>
      <c r="E64" s="11"/>
    </row>
    <row r="65" spans="1:18" ht="28.5" customHeight="1" x14ac:dyDescent="0.2">
      <c r="A65" s="485"/>
      <c r="B65" s="486" t="s">
        <v>662</v>
      </c>
      <c r="C65" s="487"/>
      <c r="D65" s="488"/>
      <c r="E65" s="487"/>
      <c r="F65" s="1060" t="s">
        <v>663</v>
      </c>
      <c r="G65" s="1061"/>
      <c r="H65" s="1062"/>
      <c r="I65" s="523" t="s">
        <v>694</v>
      </c>
      <c r="J65" s="47"/>
      <c r="L65" s="31"/>
      <c r="N65" s="2"/>
      <c r="P65" s="2"/>
      <c r="R65" s="2"/>
    </row>
    <row r="66" spans="1:18" ht="12.75" customHeight="1" x14ac:dyDescent="0.2">
      <c r="A66" s="485"/>
      <c r="B66" s="1056" t="s">
        <v>724</v>
      </c>
      <c r="C66" s="1057"/>
      <c r="D66" s="1057"/>
      <c r="E66" s="1057"/>
      <c r="F66" s="1063">
        <f>Kostenentwicklung!I170</f>
        <v>0</v>
      </c>
      <c r="G66" s="1064"/>
      <c r="H66" s="1065"/>
      <c r="I66" s="524" t="e">
        <f t="shared" ref="I66:I73" si="0">F66/$F$77</f>
        <v>#DIV/0!</v>
      </c>
      <c r="J66" s="47"/>
      <c r="L66" s="31"/>
      <c r="N66" s="2"/>
      <c r="P66" s="2"/>
      <c r="R66" s="2"/>
    </row>
    <row r="67" spans="1:18" ht="12.75" customHeight="1" x14ac:dyDescent="0.2">
      <c r="A67" s="485"/>
      <c r="B67" s="1056" t="s">
        <v>725</v>
      </c>
      <c r="C67" s="1057"/>
      <c r="D67" s="1057"/>
      <c r="E67" s="1057"/>
      <c r="F67" s="1063">
        <f>Kostenentwicklung!I171</f>
        <v>0</v>
      </c>
      <c r="G67" s="1064"/>
      <c r="H67" s="1065"/>
      <c r="I67" s="524" t="e">
        <f t="shared" si="0"/>
        <v>#DIV/0!</v>
      </c>
      <c r="J67" s="47"/>
      <c r="L67" s="31"/>
      <c r="N67" s="2"/>
      <c r="P67" s="2"/>
      <c r="R67" s="2"/>
    </row>
    <row r="68" spans="1:18" ht="12.75" customHeight="1" x14ac:dyDescent="0.2">
      <c r="A68" s="485"/>
      <c r="B68" s="1056" t="s">
        <v>726</v>
      </c>
      <c r="C68" s="1057"/>
      <c r="D68" s="1057"/>
      <c r="E68" s="1057"/>
      <c r="F68" s="1063">
        <f>Kostenentwicklung!I172</f>
        <v>0</v>
      </c>
      <c r="G68" s="1064"/>
      <c r="H68" s="1065"/>
      <c r="I68" s="524" t="e">
        <f t="shared" si="0"/>
        <v>#DIV/0!</v>
      </c>
      <c r="J68" s="47"/>
      <c r="L68" s="31"/>
      <c r="N68" s="2"/>
      <c r="P68" s="2"/>
      <c r="R68" s="2"/>
    </row>
    <row r="69" spans="1:18" ht="14.25" x14ac:dyDescent="0.2">
      <c r="A69" s="485"/>
      <c r="B69" s="1052" t="s">
        <v>729</v>
      </c>
      <c r="C69" s="1053"/>
      <c r="D69" s="1053"/>
      <c r="E69" s="1053"/>
      <c r="F69" s="1063">
        <f>Kostenentwicklung!I173</f>
        <v>0</v>
      </c>
      <c r="G69" s="1064"/>
      <c r="H69" s="1065"/>
      <c r="I69" s="524" t="e">
        <f t="shared" si="0"/>
        <v>#DIV/0!</v>
      </c>
      <c r="J69" s="47"/>
      <c r="L69" s="31"/>
      <c r="N69" s="2"/>
      <c r="P69" s="2"/>
      <c r="R69" s="2"/>
    </row>
    <row r="70" spans="1:18" ht="14.25" x14ac:dyDescent="0.2">
      <c r="A70" s="485"/>
      <c r="B70" s="1052" t="s">
        <v>730</v>
      </c>
      <c r="C70" s="1053"/>
      <c r="D70" s="1053"/>
      <c r="E70" s="1053"/>
      <c r="F70" s="1063">
        <f>Kostenentwicklung!I174</f>
        <v>0</v>
      </c>
      <c r="G70" s="1064"/>
      <c r="H70" s="1065"/>
      <c r="I70" s="524" t="e">
        <f t="shared" si="0"/>
        <v>#DIV/0!</v>
      </c>
      <c r="J70" s="47"/>
      <c r="L70" s="31"/>
      <c r="N70" s="2"/>
      <c r="P70" s="2"/>
      <c r="R70" s="2"/>
    </row>
    <row r="71" spans="1:18" ht="14.25" x14ac:dyDescent="0.2">
      <c r="A71" s="485"/>
      <c r="B71" s="1052" t="s">
        <v>731</v>
      </c>
      <c r="C71" s="1053"/>
      <c r="D71" s="1053"/>
      <c r="E71" s="1053"/>
      <c r="F71" s="1063">
        <f>Kostenentwicklung!I175</f>
        <v>0</v>
      </c>
      <c r="G71" s="1064"/>
      <c r="H71" s="1065"/>
      <c r="I71" s="524" t="e">
        <f t="shared" si="0"/>
        <v>#DIV/0!</v>
      </c>
      <c r="J71" s="47"/>
      <c r="L71" s="31"/>
      <c r="N71" s="2"/>
      <c r="P71" s="2"/>
      <c r="R71" s="2"/>
    </row>
    <row r="72" spans="1:18" ht="14.25" x14ac:dyDescent="0.2">
      <c r="A72" s="485"/>
      <c r="B72" s="1052" t="s">
        <v>732</v>
      </c>
      <c r="C72" s="1053"/>
      <c r="D72" s="1053"/>
      <c r="E72" s="1053"/>
      <c r="F72" s="1063">
        <f>Kostenentwicklung!I176</f>
        <v>0</v>
      </c>
      <c r="G72" s="1064"/>
      <c r="H72" s="1065"/>
      <c r="I72" s="524" t="e">
        <f t="shared" si="0"/>
        <v>#DIV/0!</v>
      </c>
      <c r="J72" s="47"/>
      <c r="L72" s="31"/>
      <c r="N72" s="2"/>
      <c r="P72" s="2"/>
      <c r="R72" s="2"/>
    </row>
    <row r="73" spans="1:18" ht="14.25" x14ac:dyDescent="0.2">
      <c r="A73" s="485"/>
      <c r="B73" s="1052" t="s">
        <v>733</v>
      </c>
      <c r="C73" s="1053"/>
      <c r="D73" s="1053"/>
      <c r="E73" s="1053"/>
      <c r="F73" s="1063">
        <f>Kostenentwicklung!I177</f>
        <v>0</v>
      </c>
      <c r="G73" s="1064"/>
      <c r="H73" s="1065"/>
      <c r="I73" s="524" t="e">
        <f t="shared" si="0"/>
        <v>#DIV/0!</v>
      </c>
      <c r="J73" s="47"/>
      <c r="L73" s="31"/>
      <c r="N73" s="2"/>
      <c r="P73" s="2"/>
      <c r="R73" s="2"/>
    </row>
    <row r="74" spans="1:18" ht="14.25" hidden="1" x14ac:dyDescent="0.2">
      <c r="A74" s="485"/>
      <c r="B74" s="1052" t="s">
        <v>727</v>
      </c>
      <c r="C74" s="1053"/>
      <c r="D74" s="1053"/>
      <c r="E74" s="1053"/>
      <c r="F74" s="539"/>
      <c r="G74" s="1050">
        <f>Kostenentwicklung!I178</f>
        <v>0</v>
      </c>
      <c r="H74" s="1051"/>
      <c r="I74" s="524" t="e">
        <f>G74/$F$77</f>
        <v>#DIV/0!</v>
      </c>
      <c r="J74" s="47"/>
      <c r="L74" s="31"/>
      <c r="N74" s="2"/>
      <c r="P74" s="2"/>
      <c r="R74" s="2"/>
    </row>
    <row r="75" spans="1:18" ht="14.25" x14ac:dyDescent="0.2">
      <c r="A75" s="485"/>
      <c r="B75" s="1072" t="s">
        <v>728</v>
      </c>
      <c r="C75" s="1073"/>
      <c r="D75" s="1073"/>
      <c r="E75" s="1073"/>
      <c r="F75" s="1063">
        <f>Kostenentwicklung!I179</f>
        <v>0</v>
      </c>
      <c r="G75" s="1064"/>
      <c r="H75" s="1065"/>
      <c r="I75" s="524" t="e">
        <f>F75/$F$77</f>
        <v>#DIV/0!</v>
      </c>
      <c r="J75" s="47"/>
      <c r="L75" s="31"/>
      <c r="N75" s="2"/>
      <c r="P75" s="2"/>
      <c r="R75" s="2"/>
    </row>
    <row r="76" spans="1:18" ht="14.25" x14ac:dyDescent="0.2">
      <c r="A76" s="485"/>
      <c r="B76" s="1074" t="s">
        <v>702</v>
      </c>
      <c r="C76" s="1075"/>
      <c r="D76" s="1075"/>
      <c r="E76" s="1075"/>
      <c r="F76" s="1066">
        <f>Kostenentwicklung!I180</f>
        <v>0</v>
      </c>
      <c r="G76" s="1067"/>
      <c r="H76" s="1068"/>
      <c r="I76" s="524" t="e">
        <f>F76/$F$77</f>
        <v>#DIV/0!</v>
      </c>
      <c r="J76" s="47"/>
      <c r="L76" s="31"/>
      <c r="N76" s="2"/>
      <c r="P76" s="2"/>
      <c r="R76" s="2"/>
    </row>
    <row r="77" spans="1:18" ht="15" thickBot="1" x14ac:dyDescent="0.25">
      <c r="B77" s="1058" t="s">
        <v>695</v>
      </c>
      <c r="C77" s="1059"/>
      <c r="D77" s="1059"/>
      <c r="E77" s="1059"/>
      <c r="F77" s="1069">
        <f>SUM(F66:H76)</f>
        <v>0</v>
      </c>
      <c r="G77" s="1070"/>
      <c r="H77" s="1071"/>
      <c r="I77" s="525" t="e">
        <f>SUM(I66:I76)</f>
        <v>#DIV/0!</v>
      </c>
      <c r="J77" s="47"/>
      <c r="L77" s="31"/>
      <c r="N77" s="2"/>
      <c r="P77" s="2"/>
      <c r="R77" s="2"/>
    </row>
  </sheetData>
  <sheetProtection selectLockedCells="1"/>
  <mergeCells count="27">
    <mergeCell ref="B77:E77"/>
    <mergeCell ref="F65:H65"/>
    <mergeCell ref="F66:H66"/>
    <mergeCell ref="F67:H67"/>
    <mergeCell ref="F68:H68"/>
    <mergeCell ref="F69:H69"/>
    <mergeCell ref="F70:H70"/>
    <mergeCell ref="F71:H71"/>
    <mergeCell ref="F72:H72"/>
    <mergeCell ref="F73:H73"/>
    <mergeCell ref="F75:H75"/>
    <mergeCell ref="F76:H76"/>
    <mergeCell ref="F77:H77"/>
    <mergeCell ref="B75:E75"/>
    <mergeCell ref="B76:E76"/>
    <mergeCell ref="B8:C8"/>
    <mergeCell ref="G74:H74"/>
    <mergeCell ref="B69:E69"/>
    <mergeCell ref="B70:E70"/>
    <mergeCell ref="B71:E71"/>
    <mergeCell ref="B72:E72"/>
    <mergeCell ref="B73:E73"/>
    <mergeCell ref="B74:E74"/>
    <mergeCell ref="B10:C10"/>
    <mergeCell ref="B67:E67"/>
    <mergeCell ref="B66:E66"/>
    <mergeCell ref="B68:E68"/>
  </mergeCells>
  <conditionalFormatting sqref="I3:Q3">
    <cfRule type="cellIs" dxfId="12" priority="2" operator="equal">
      <formula>0</formula>
    </cfRule>
  </conditionalFormatting>
  <pageMargins left="0.70866141732283472" right="0.51181102362204722" top="0.78740157480314965" bottom="0.6692913385826772" header="0.31496062992125984" footer="0.31496062992125984"/>
  <pageSetup paperSize="9" scale="78" orientation="landscape" verticalDpi="2" r:id="rId1"/>
  <rowBreaks count="1" manualBreakCount="1">
    <brk id="6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249977111117893"/>
  </sheetPr>
  <dimension ref="A1:Q69"/>
  <sheetViews>
    <sheetView showGridLines="0" showRowColHeaders="0" zoomScaleNormal="100" zoomScaleSheetLayoutView="85" workbookViewId="0">
      <selection activeCell="D5" sqref="D5:L5"/>
    </sheetView>
  </sheetViews>
  <sheetFormatPr baseColWidth="10" defaultColWidth="0.42578125" defaultRowHeight="12" zeroHeight="1" outlineLevelRow="1" x14ac:dyDescent="0.2"/>
  <cols>
    <col min="1" max="1" width="2.7109375" style="1" customWidth="1"/>
    <col min="2" max="3" width="3.5703125" style="2" customWidth="1"/>
    <col min="4" max="4" width="30.7109375" style="2" customWidth="1"/>
    <col min="5" max="5" width="16.42578125" style="9" customWidth="1"/>
    <col min="6" max="6" width="12.85546875" style="9" customWidth="1"/>
    <col min="7" max="7" width="4.28515625" style="2" customWidth="1"/>
    <col min="8" max="8" width="5" style="2" customWidth="1"/>
    <col min="9" max="9" width="12.85546875" style="2" customWidth="1"/>
    <col min="10" max="10" width="4.5703125" style="2" customWidth="1"/>
    <col min="11" max="11" width="12.85546875" style="2" customWidth="1"/>
    <col min="12" max="12" width="4.28515625" style="47" customWidth="1"/>
    <col min="13" max="13" width="12.85546875" style="2" customWidth="1"/>
    <col min="14" max="14" width="4.28515625" style="47" customWidth="1"/>
    <col min="15" max="15" width="0.7109375" style="2" customWidth="1"/>
    <col min="16" max="255" width="11.42578125" style="2" customWidth="1"/>
    <col min="256" max="16384" width="0.42578125" style="2"/>
  </cols>
  <sheetData>
    <row r="1" spans="1:16" x14ac:dyDescent="0.2">
      <c r="B1" s="1"/>
      <c r="O1" s="9"/>
    </row>
    <row r="2" spans="1:16" ht="11.25" customHeight="1" x14ac:dyDescent="0.2">
      <c r="B2" s="3" t="s">
        <v>775</v>
      </c>
      <c r="C2" s="3"/>
      <c r="O2" s="9"/>
    </row>
    <row r="3" spans="1:16" s="268" customFormat="1" ht="11.25" customHeight="1" x14ac:dyDescent="0.2">
      <c r="A3" s="185"/>
      <c r="B3" s="268">
        <f>Eingabe!G4</f>
        <v>0</v>
      </c>
      <c r="E3" s="213"/>
      <c r="F3" s="1079"/>
      <c r="G3" s="1079"/>
      <c r="I3" s="1082"/>
      <c r="J3" s="1082"/>
      <c r="K3" s="1082"/>
      <c r="L3" s="1082"/>
      <c r="M3" s="1082"/>
      <c r="N3" s="384"/>
      <c r="O3" s="213"/>
    </row>
    <row r="4" spans="1:16" s="268" customFormat="1" ht="11.25" customHeight="1" x14ac:dyDescent="0.2">
      <c r="A4" s="185"/>
      <c r="B4" s="268" t="str">
        <f>"Teuerungsbereinigt (Kostenstand April " &amp; Benchmarkvergleich!F8 &amp;")"</f>
        <v>Teuerungsbereinigt (Kostenstand April )</v>
      </c>
      <c r="E4" s="213"/>
      <c r="F4" s="1079"/>
      <c r="G4" s="1079"/>
      <c r="H4" s="213"/>
      <c r="I4" s="1079"/>
      <c r="J4" s="1079"/>
      <c r="K4" s="1079"/>
      <c r="L4" s="1079"/>
      <c r="M4" s="1079"/>
      <c r="N4" s="1079"/>
      <c r="O4" s="213"/>
    </row>
    <row r="5" spans="1:16" s="268" customFormat="1" ht="24" customHeight="1" x14ac:dyDescent="0.2">
      <c r="A5" s="637"/>
      <c r="B5" s="639" t="s">
        <v>703</v>
      </c>
      <c r="C5" s="637"/>
      <c r="D5" s="637"/>
      <c r="F5" s="1083">
        <f>B8_04_AKTIVPROJE</f>
        <v>0</v>
      </c>
      <c r="G5" s="1083"/>
      <c r="H5" s="474"/>
      <c r="I5" s="1083"/>
      <c r="J5" s="1083"/>
      <c r="K5" s="1083"/>
      <c r="L5" s="1083"/>
      <c r="M5" s="1083"/>
      <c r="N5" s="1083"/>
      <c r="O5" s="213"/>
      <c r="P5" s="240"/>
    </row>
    <row r="6" spans="1:16" s="268" customFormat="1" ht="11.25" customHeight="1" x14ac:dyDescent="0.2">
      <c r="A6" s="185"/>
      <c r="B6" s="640" t="s">
        <v>704</v>
      </c>
      <c r="C6" s="185"/>
      <c r="D6" s="185"/>
      <c r="E6" s="530"/>
      <c r="F6" s="1084">
        <f>Eingabe!G4</f>
        <v>0</v>
      </c>
      <c r="G6" s="1084"/>
      <c r="H6" s="474"/>
      <c r="I6" s="1084"/>
      <c r="J6" s="1084"/>
      <c r="K6" s="1084"/>
      <c r="L6" s="1084"/>
      <c r="M6" s="1084"/>
      <c r="N6" s="1084"/>
      <c r="O6" s="213"/>
    </row>
    <row r="7" spans="1:16" s="268" customFormat="1" ht="11.25" customHeight="1" x14ac:dyDescent="0.2">
      <c r="A7" s="185"/>
      <c r="B7" s="485" t="s">
        <v>776</v>
      </c>
      <c r="C7" s="185"/>
      <c r="D7" s="185"/>
      <c r="E7" s="385"/>
      <c r="F7" s="1084"/>
      <c r="G7" s="1084"/>
      <c r="H7" s="474"/>
      <c r="I7" s="1084"/>
      <c r="J7" s="1084"/>
      <c r="K7" s="1084"/>
      <c r="L7" s="1084"/>
      <c r="M7" s="1084"/>
      <c r="N7" s="1084"/>
      <c r="O7" s="213"/>
    </row>
    <row r="8" spans="1:16" ht="24" customHeight="1" x14ac:dyDescent="0.2">
      <c r="B8" s="641" t="s">
        <v>777</v>
      </c>
      <c r="C8" s="1"/>
      <c r="D8" s="1"/>
      <c r="E8" s="44"/>
      <c r="F8" s="1078" t="str">
        <f>IF(TRIM(B8_04_7KOIN)&lt;&gt;"",TRIM(B8_04_7KOIN),IF(AND(TRIM(B8_04_6KOIN)&lt;&gt;"",TRIM(B8_04_7KOIN)=""),TRIM(B8_04_6KOIN),IF(AND(TRIM(B8_04_5KOIN)&lt;&gt;"",TRIM(B8_04_6KOIN)=""),TRIM(B8_04_5KOIN),IF(AND(TRIM(B8_04_4KOIN)&lt;&gt;"",TRIM(B8_04_5KOIN)=""),TRIM(B8_04_4KOIN),IF(AND(TRIM(B8_04_3KOIN)&lt;&gt;"",TRIM(B8_04_4KOIN)=""),TRIM(B8_04_3KOIN),IF(AND(TRIM(B8_04_2KOIN)&lt;&gt;"",TRIM(B8_04_3KOIN)=""),TRIM(B8_04_2KOIN),IF(AND(TRIM(B8_04_1KOIN)&lt;&gt;"",TRIM(B8_04_2KOIN)=""),TRIM(B8_04_1KOIN),"")))))))</f>
        <v/>
      </c>
      <c r="G8" s="1078"/>
      <c r="H8" s="756"/>
      <c r="I8" s="1078"/>
      <c r="J8" s="1078"/>
      <c r="K8" s="1078"/>
      <c r="L8" s="1078"/>
      <c r="M8" s="1078"/>
      <c r="N8" s="1078"/>
      <c r="O8" s="9"/>
    </row>
    <row r="9" spans="1:16" ht="11.25" hidden="1" customHeight="1" x14ac:dyDescent="0.2">
      <c r="B9" s="1"/>
      <c r="C9" s="1"/>
      <c r="D9" s="1" t="s">
        <v>175</v>
      </c>
      <c r="E9" s="44"/>
      <c r="F9" s="48" t="e">
        <f>Index!F5</f>
        <v>#VALUE!</v>
      </c>
      <c r="G9" s="31"/>
      <c r="H9" s="9"/>
      <c r="I9" s="158" t="e">
        <f>Index!G7</f>
        <v>#N/A</v>
      </c>
      <c r="J9" s="48"/>
      <c r="K9" s="158" t="e">
        <f>Index!G9</f>
        <v>#N/A</v>
      </c>
      <c r="L9" s="48"/>
      <c r="M9" s="158" t="e">
        <f>Index!G11</f>
        <v>#N/A</v>
      </c>
      <c r="O9" s="9"/>
    </row>
    <row r="10" spans="1:16" ht="11.25" customHeight="1" thickBot="1" x14ac:dyDescent="0.25">
      <c r="B10" s="628" t="s">
        <v>71</v>
      </c>
      <c r="C10" s="589"/>
      <c r="D10" s="629"/>
      <c r="E10" s="629"/>
      <c r="F10" s="629"/>
      <c r="G10" s="594"/>
      <c r="H10" s="594"/>
      <c r="I10" s="594"/>
      <c r="J10" s="594"/>
      <c r="K10" s="594"/>
      <c r="L10" s="630"/>
      <c r="M10" s="594"/>
      <c r="N10" s="630"/>
      <c r="O10" s="9"/>
    </row>
    <row r="11" spans="1:16" ht="11.25" customHeight="1" x14ac:dyDescent="0.2">
      <c r="A11" s="44"/>
      <c r="B11" s="624" t="s">
        <v>18</v>
      </c>
      <c r="C11" s="624"/>
      <c r="D11" s="625" t="s">
        <v>1</v>
      </c>
      <c r="E11" s="625"/>
      <c r="F11" s="626" t="s">
        <v>28</v>
      </c>
      <c r="G11" s="625"/>
      <c r="H11" s="633" t="s">
        <v>2</v>
      </c>
      <c r="I11" s="626" t="s">
        <v>28</v>
      </c>
      <c r="J11" s="564"/>
      <c r="K11" s="626" t="s">
        <v>28</v>
      </c>
      <c r="L11" s="627"/>
      <c r="M11" s="626" t="s">
        <v>28</v>
      </c>
      <c r="N11" s="627"/>
      <c r="O11" s="9"/>
    </row>
    <row r="12" spans="1:16" ht="11.25" customHeight="1" x14ac:dyDescent="0.2">
      <c r="A12" s="44"/>
      <c r="B12" s="96">
        <v>1</v>
      </c>
      <c r="C12" s="96"/>
      <c r="D12" s="52" t="s">
        <v>552</v>
      </c>
      <c r="E12" s="52"/>
      <c r="F12" s="622">
        <f>IF(B8_04_7GEDE&gt;0,B8_04_7VOAR,IF(B8_04_6GEDE&gt;0,B8_04_6VOAR,IF(B8_04_5GEDE&gt;0,B8_04_5VOAR,IF(B8_04_4GEDE&gt;0,B8_04_4VOAR,IF(B8_04_3GEDE&gt;0,B8_04_3VOAR,IF(B8_04_2GEDE&gt;0,B8_04_2VOAR,IF(B8_04_1GEDE&gt;0,B8_04_1VOAR,0)))))))</f>
        <v>0</v>
      </c>
      <c r="G12" s="623" t="str">
        <f>IF(F12=0," ",F12/F19)</f>
        <v xml:space="preserve"> </v>
      </c>
      <c r="H12" s="634" t="s">
        <v>19</v>
      </c>
      <c r="I12" s="622" t="str">
        <f>IF(B8_04_1VVOAR=0," ",B8_04_1VVOAR/Index!G7*B8_04_INSTAND)</f>
        <v xml:space="preserve"> </v>
      </c>
      <c r="J12" s="623" t="str">
        <f>IF(B8_04_1VVOAR=0," ",I12/I19)</f>
        <v xml:space="preserve"> </v>
      </c>
      <c r="K12" s="622" t="str">
        <f>IF(B8_04_2VVOAR=0," ",B8_04_2VVOAR/Index!G9*B8_04_INSTAND)</f>
        <v xml:space="preserve"> </v>
      </c>
      <c r="L12" s="623" t="str">
        <f>IF(B8_04_2VVOAR=0," ",K12/K19)</f>
        <v xml:space="preserve"> </v>
      </c>
      <c r="M12" s="622" t="str">
        <f>IF(B8_04_3VVOAR=0," ",B8_04_3VVOAR/Index!G11*B8_04_INSTAND)</f>
        <v xml:space="preserve"> </v>
      </c>
      <c r="N12" s="623" t="str">
        <f>IF(B8_04_3VVOAR=0," ",M12/M19)</f>
        <v xml:space="preserve"> </v>
      </c>
      <c r="O12" s="9"/>
    </row>
    <row r="13" spans="1:16" ht="11.25" customHeight="1" x14ac:dyDescent="0.2">
      <c r="A13" s="44"/>
      <c r="B13" s="96">
        <v>2</v>
      </c>
      <c r="C13" s="96"/>
      <c r="D13" s="52" t="s">
        <v>21</v>
      </c>
      <c r="E13" s="52"/>
      <c r="F13" s="603">
        <f>IF(B8_04_7GEDE&gt;0,B8_04_7GEDE,IF(B8_04_6GEDE&gt;0,B8_04_6GEDE,IF(B8_04_5GEDE&gt;0,B8_04_5GEDE,IF(B8_04_4GEDE&gt;0,B8_04_4GEDE,IF(B8_04_3GEDE&gt;0,B8_04_3GEDE,IF(B8_04_2GEDE&gt;0,B8_04_2GEDE,IF(B8_04_1GEDE&gt;0,B8_04_1GEDE,0)))))))</f>
        <v>0</v>
      </c>
      <c r="G13" s="601" t="str">
        <f>IF(F13=0," ",F13/F19)</f>
        <v xml:space="preserve"> </v>
      </c>
      <c r="H13" s="635" t="s">
        <v>19</v>
      </c>
      <c r="I13" s="603" t="str">
        <f>IF(B8_04_1VGEDE=0," ",B8_04_1VGEDE/Index!G7*B8_04_INSTAND)</f>
        <v xml:space="preserve"> </v>
      </c>
      <c r="J13" s="601" t="str">
        <f>IF(B8_04_1VGEDE=0," ",I13/I19)</f>
        <v xml:space="preserve"> </v>
      </c>
      <c r="K13" s="603" t="str">
        <f>IF(B8_04_2VGEDE=0," ",B8_04_2VGEDE/Index!G9*B8_04_INSTAND)</f>
        <v xml:space="preserve"> </v>
      </c>
      <c r="L13" s="601" t="str">
        <f>IF(B8_04_2VGEDE=0," ",K13/K19)</f>
        <v xml:space="preserve"> </v>
      </c>
      <c r="M13" s="603" t="str">
        <f>IF(B8_04_3VGEDE=0," ",B8_04_3VGEDE/Index!G11*B8_04_INSTAND)</f>
        <v xml:space="preserve"> </v>
      </c>
      <c r="N13" s="601" t="str">
        <f>IF(B8_04_3VGEDE=0," ",M13/M19)</f>
        <v xml:space="preserve"> </v>
      </c>
      <c r="O13" s="9"/>
    </row>
    <row r="14" spans="1:16" ht="11.25" customHeight="1" x14ac:dyDescent="0.2">
      <c r="A14" s="44"/>
      <c r="B14" s="96">
        <v>3</v>
      </c>
      <c r="C14" s="96"/>
      <c r="D14" s="52" t="s">
        <v>545</v>
      </c>
      <c r="E14" s="52"/>
      <c r="F14" s="603">
        <f>IF(B8_04_7GEDE&gt;0,B8_04_7BEAU,IF(B8_04_6GEDE&gt;0,B8_04_6BEAU,IF(B8_04_5GEDE&gt;0,B8_04_5BEAU,IF(B8_04_4GEDE&gt;0,B8_04_4BEAU,IF(B8_04_3GEDE&gt;0,B8_04_3BEAU,IF(B8_04_2GEDE&gt;0,B8_04_2BEAU,IF(B8_04_1GEDE&gt;0,B8_04_1BEAU,0)))))))</f>
        <v>0</v>
      </c>
      <c r="G14" s="601" t="str">
        <f>IF(F14=0," ",F14/F19)</f>
        <v xml:space="preserve"> </v>
      </c>
      <c r="H14" s="635" t="s">
        <v>19</v>
      </c>
      <c r="I14" s="603" t="str">
        <f>IF(B8_04_1VBEAU=0," ",B8_04_1VBEAU/Index!G7*B8_04_INSTAND)</f>
        <v xml:space="preserve"> </v>
      </c>
      <c r="J14" s="601" t="str">
        <f>IF(B8_04_1VBEAU=0," ",I14/I19)</f>
        <v xml:space="preserve"> </v>
      </c>
      <c r="K14" s="603" t="str">
        <f>IF(B8_04_2VBEAU=0," ",B8_04_2VBEAU/Index!G9*B8_04_INSTAND)</f>
        <v xml:space="preserve"> </v>
      </c>
      <c r="L14" s="601" t="str">
        <f>IF(B8_04_2VBEAU=0," ",K14/K19)</f>
        <v xml:space="preserve"> </v>
      </c>
      <c r="M14" s="603" t="str">
        <f>IF(B8_04_3VBEAU=0," ",B8_04_3VBEAU/Index!G11*B8_04_INSTAND)</f>
        <v xml:space="preserve"> </v>
      </c>
      <c r="N14" s="601" t="str">
        <f>IF(B8_04_3VBEAU=0," ",M14/M19)</f>
        <v xml:space="preserve"> </v>
      </c>
      <c r="O14" s="9"/>
    </row>
    <row r="15" spans="1:16" ht="11.25" customHeight="1" x14ac:dyDescent="0.2">
      <c r="A15" s="44"/>
      <c r="B15" s="96">
        <v>4</v>
      </c>
      <c r="C15" s="96"/>
      <c r="D15" s="52" t="s">
        <v>546</v>
      </c>
      <c r="E15" s="52"/>
      <c r="F15" s="603">
        <f>IF(B8_04_7GEDE&gt;0,B8_04_7UMBU,IF(B8_04_6GEDE&gt;0,B8_04_6UMBU,IF(B8_04_5GEDE&gt;0,B8_04_5UMBU,IF(B8_04_4GEDE&gt;0,B8_04_4UMBU,IF(B8_04_3GEDE&gt;0,B8_04_3UMBU,IF(B8_04_2GEDE&gt;0,B8_04_2UMBU,IF(B8_04_1GEDE&gt;0,B8_04_1UMBU,0)))))))</f>
        <v>0</v>
      </c>
      <c r="G15" s="601" t="str">
        <f>IF(F15=0," ",F15/F19)</f>
        <v xml:space="preserve"> </v>
      </c>
      <c r="H15" s="635" t="s">
        <v>19</v>
      </c>
      <c r="I15" s="603" t="str">
        <f>IF(B8_04_1VUMBU=0," ",B8_04_1VUMBU/Index!G7*B8_04_INSTAND)</f>
        <v xml:space="preserve"> </v>
      </c>
      <c r="J15" s="601" t="str">
        <f>IF(B8_04_1VUMBU=0," ",I15/I19)</f>
        <v xml:space="preserve"> </v>
      </c>
      <c r="K15" s="603" t="str">
        <f>IF(B8_04_2VUMBU=0," ",B8_04_2VUMBU/Index!G9*B8_04_INSTAND)</f>
        <v xml:space="preserve"> </v>
      </c>
      <c r="L15" s="601" t="str">
        <f>IF(B8_04_2VUMBU=0," ",K15/K19)</f>
        <v xml:space="preserve"> </v>
      </c>
      <c r="M15" s="603" t="str">
        <f>IF(B8_04_3VUMBU=0," ",B8_04_3VUMBU/Index!G11*B8_04_INSTAND)</f>
        <v xml:space="preserve"> </v>
      </c>
      <c r="N15" s="601" t="str">
        <f>IF(B8_04_3VUMBU=0," ",M15/M19)</f>
        <v xml:space="preserve"> </v>
      </c>
      <c r="O15" s="9"/>
    </row>
    <row r="16" spans="1:16" ht="11.25" customHeight="1" x14ac:dyDescent="0.2">
      <c r="A16" s="44"/>
      <c r="B16" s="96">
        <v>5</v>
      </c>
      <c r="C16" s="96"/>
      <c r="D16" s="52" t="s">
        <v>24</v>
      </c>
      <c r="E16" s="52"/>
      <c r="F16" s="603">
        <f>IF(B8_04_7GEDE&gt;0,B8_04_7BAKO,IF(B8_04_6GEDE&gt;0,B8_04_6BAKO,IF(B8_04_5GEDE&gt;0,B8_04_5BAKO,IF(B8_04_4GEDE&gt;0,B8_04_4BAKO,IF(B8_04_3GEDE&gt;0,B8_04_3BAKO,IF(B8_04_2GEDE&gt;0,B8_04_2BAKO,IF(B8_04_1GEDE&gt;0,B8_04_1BAKO,0)))))))</f>
        <v>0</v>
      </c>
      <c r="G16" s="601" t="str">
        <f>IF(F16=0," ",F16/F19)</f>
        <v xml:space="preserve"> </v>
      </c>
      <c r="H16" s="635" t="s">
        <v>19</v>
      </c>
      <c r="I16" s="603" t="str">
        <f>IF(B8_04_1VBAKO=0," ",B8_04_1VBAKO/Index!G7*B8_04_INSTAND)</f>
        <v xml:space="preserve"> </v>
      </c>
      <c r="J16" s="601" t="str">
        <f>IF(B8_04_1VBAKO=0," ",I16/I19)</f>
        <v xml:space="preserve"> </v>
      </c>
      <c r="K16" s="603" t="str">
        <f>IF(B8_04_2VBAKO=0," ",B8_04_2VBAKO/Index!G9*B8_04_INSTAND)</f>
        <v xml:space="preserve"> </v>
      </c>
      <c r="L16" s="601" t="str">
        <f>IF(B8_04_2VBAKO=0," ",K16/K19)</f>
        <v xml:space="preserve"> </v>
      </c>
      <c r="M16" s="603" t="str">
        <f>IF(B8_04_3VBAKO=0," ",B8_04_3VBAKO/Index!G11*B8_04_INSTAND)</f>
        <v xml:space="preserve"> </v>
      </c>
      <c r="N16" s="601" t="str">
        <f>IF(B8_04_3VBAKO=0," ",M16/M19)</f>
        <v xml:space="preserve"> </v>
      </c>
      <c r="O16" s="9"/>
    </row>
    <row r="17" spans="1:15" ht="11.25" customHeight="1" outlineLevel="1" x14ac:dyDescent="0.2">
      <c r="A17" s="44"/>
      <c r="B17" s="610" t="s">
        <v>143</v>
      </c>
      <c r="C17" s="612"/>
      <c r="D17" s="611" t="s">
        <v>571</v>
      </c>
      <c r="E17" s="52"/>
      <c r="F17" s="603">
        <f>IF(B8_04_7GEDE&gt;0,B8_04_7MAUE,IF(B8_04_6GEDE&gt;0,B8_04_6MAUE,IF(B8_04_5GEDE&gt;0,B8_04_5MAUE,IF(B8_04_4GEDE&gt;0,B8_04_4MAUE,IF(B8_04_3GEDE&gt;0,B8_04_3MAUE,IF(B8_04_2GEDE&gt;0,B8_04_2MAUE,IF(B8_04_1GEDE&gt;0,B8_04_1MAUE,0)))))))</f>
        <v>0</v>
      </c>
      <c r="G17" s="601" t="str">
        <f>IF(F17=0," ",F17/F19)</f>
        <v xml:space="preserve"> </v>
      </c>
      <c r="H17" s="635" t="s">
        <v>19</v>
      </c>
      <c r="I17" s="603" t="str">
        <f>IF(B8_04_1VMAUE=0," ",B8_04_1VMAUE/Index!G7*B8_04_INSTAND)</f>
        <v xml:space="preserve"> </v>
      </c>
      <c r="J17" s="601" t="str">
        <f>IF(B8_04_1VMAUE=0," ",I17/I19)</f>
        <v xml:space="preserve"> </v>
      </c>
      <c r="K17" s="603" t="str">
        <f>IF(B8_04_2VMAUE=0," ",B8_04_2VMAUE/Index!G9*B8_04_INSTAND)</f>
        <v xml:space="preserve"> </v>
      </c>
      <c r="L17" s="601" t="str">
        <f>IF(B8_04_2VMAUE=0," ",K17/K19)</f>
        <v xml:space="preserve"> </v>
      </c>
      <c r="M17" s="603" t="str">
        <f>IF(B8_04_3VMAUE=0," ",B8_04_3VMAUE/Index!G11*B8_04_INSTAND)</f>
        <v xml:space="preserve"> </v>
      </c>
      <c r="N17" s="601" t="str">
        <f>IF(B8_04_3VMAUE=0," ",M17/M19)</f>
        <v xml:space="preserve"> </v>
      </c>
      <c r="O17" s="9"/>
    </row>
    <row r="18" spans="1:15" ht="11.25" customHeight="1" x14ac:dyDescent="0.2">
      <c r="A18" s="44"/>
      <c r="B18" s="624">
        <v>9</v>
      </c>
      <c r="C18" s="624"/>
      <c r="D18" s="625" t="s">
        <v>549</v>
      </c>
      <c r="E18" s="625"/>
      <c r="F18" s="603">
        <f>IF(B8_04_7GEDE&gt;0,B8_04_7AUKB,IF(B8_04_6GEDE&gt;0,B8_04_6AUKB,IF(B8_04_5GEDE&gt;0,B8_04_5AUKB,IF(B8_04_4GEDE&gt;0,B8_04_4AUKB,IF(B8_04_3GEDE&gt;0,B8_04_3AUKB,IF(B8_04_2GEDE&gt;0,B8_04_2AUKB,IF(B8_04_1GEDE&gt;0,B8_04_1AUKB,0)))))))</f>
        <v>0</v>
      </c>
      <c r="G18" s="601" t="str">
        <f>IF(F18=0," ",F18/F19)</f>
        <v xml:space="preserve"> </v>
      </c>
      <c r="H18" s="635" t="s">
        <v>19</v>
      </c>
      <c r="I18" s="603" t="str">
        <f>IF(B8_04_1VAUKB=0," ",B8_04_1VAUKB/Index!G7*B8_04_INSTAND)</f>
        <v xml:space="preserve"> </v>
      </c>
      <c r="J18" s="601" t="str">
        <f>IF(B8_04_1VAUKB=0," ",I18/I19)</f>
        <v xml:space="preserve"> </v>
      </c>
      <c r="K18" s="603" t="str">
        <f>IF(B8_04_2VAUKB=0," ",B8_04_2VAUKB/Index!G9*B8_04_INSTAND)</f>
        <v xml:space="preserve"> </v>
      </c>
      <c r="L18" s="601" t="str">
        <f>IF(B8_04_2VAUKB=0," ",K18/K19)</f>
        <v xml:space="preserve"> </v>
      </c>
      <c r="M18" s="603" t="str">
        <f>IF(B8_04_3VAUKB=0," ",B8_04_3VAUKB/Index!G11*B8_04_INSTAND)</f>
        <v xml:space="preserve"> </v>
      </c>
      <c r="N18" s="601" t="str">
        <f>IF(B8_04_3VAUKB=0," ",M18/M19)</f>
        <v xml:space="preserve"> </v>
      </c>
      <c r="O18" s="9"/>
    </row>
    <row r="19" spans="1:15" ht="11.25" customHeight="1" thickBot="1" x14ac:dyDescent="0.25">
      <c r="A19" s="44"/>
      <c r="B19" s="1076" t="s">
        <v>773</v>
      </c>
      <c r="C19" s="1077"/>
      <c r="D19" s="770" t="s">
        <v>208</v>
      </c>
      <c r="E19" s="770"/>
      <c r="F19" s="771">
        <f>SUM(F12:F18)</f>
        <v>0</v>
      </c>
      <c r="G19" s="772"/>
      <c r="H19" s="773" t="s">
        <v>19</v>
      </c>
      <c r="I19" s="771">
        <f>SUM(I12:I18)</f>
        <v>0</v>
      </c>
      <c r="J19" s="772"/>
      <c r="K19" s="771">
        <f>SUM(K12:K18)</f>
        <v>0</v>
      </c>
      <c r="L19" s="772"/>
      <c r="M19" s="771">
        <f>SUM(M12:M18)</f>
        <v>0</v>
      </c>
      <c r="N19" s="772"/>
      <c r="O19" s="12"/>
    </row>
    <row r="20" spans="1:15" x14ac:dyDescent="0.2">
      <c r="A20" s="44"/>
      <c r="B20" s="613">
        <v>0</v>
      </c>
      <c r="C20" s="613"/>
      <c r="D20" s="304" t="s">
        <v>345</v>
      </c>
      <c r="E20" s="304"/>
      <c r="F20" s="602">
        <f>IF(B8_04_7GEDE&gt;0,B8_04_7ERKO,IF(B8_04_6GEDE&gt;0,B8_04_6ERKO,IF(B8_04_5GEDE&gt;0,B8_04_5ERKO,IF(B8_04_4GEDE&gt;0,B8_04_4ERKO,IF(B8_04_3GEDE&gt;0,B8_04_3ERKO,IF(B8_04_2GEDE&gt;0,B8_04_2ERKO,IF(B8_04_1GEDE&gt;0,B8_04_1ERKO,0)))))))</f>
        <v>0</v>
      </c>
      <c r="G20" s="600"/>
      <c r="H20" s="636" t="s">
        <v>19</v>
      </c>
      <c r="I20" s="602" t="str">
        <f>IF(B8_04_1VERKO=0," ",B8_04_1VERKO/Index!G7*B8_04_INSTAND)</f>
        <v xml:space="preserve"> </v>
      </c>
      <c r="J20" s="600"/>
      <c r="K20" s="602" t="str">
        <f>IF(B8_04_2VERKO=0," ",B8_04_2VERKO/Index!G9*B8_04_INSTAND)</f>
        <v xml:space="preserve"> </v>
      </c>
      <c r="L20" s="600"/>
      <c r="M20" s="602" t="str">
        <f>IF(B8_04_3VERKO=0," ",B8_04_3VERKO/Index!G11*B8_04_INSTAND)</f>
        <v xml:space="preserve"> </v>
      </c>
      <c r="N20" s="600"/>
      <c r="O20" s="9"/>
    </row>
    <row r="21" spans="1:15" ht="11.25" customHeight="1" x14ac:dyDescent="0.2">
      <c r="A21" s="44"/>
      <c r="B21" s="631">
        <v>1</v>
      </c>
      <c r="C21" s="632"/>
      <c r="D21" s="564" t="s">
        <v>74</v>
      </c>
      <c r="E21" s="564"/>
      <c r="F21" s="622">
        <f>IF(B8_04_7GEDE&gt;0,B8_04_7PROV,IF(B8_04_6GEDE&gt;0,B8_04_6PROV,IF(B8_04_5GEDE&gt;0,B8_04_5PROV,IF(B8_04_4GEDE&gt;0,B8_04_4PROV,IF(B8_04_3GEDE&gt;0,B8_04_3PROV,IF(B8_04_2GEDE&gt;0,B8_04_2PROV,IF(B8_04_1GEDE&gt;0,B8_04_1PROV,0)))))))</f>
        <v>0</v>
      </c>
      <c r="G21" s="623"/>
      <c r="H21" s="634" t="s">
        <v>19</v>
      </c>
      <c r="I21" s="622" t="str">
        <f>IF(B8_04_1VPROV=0," ",B8_04_1VPROV/Index!G7*B8_04_INSTAND)</f>
        <v xml:space="preserve"> </v>
      </c>
      <c r="J21" s="623"/>
      <c r="K21" s="622" t="str">
        <f>IF(B8_04_2VPROV=0," ",B8_04_2VPROV/Index!G9*B8_04_INSTAND)</f>
        <v xml:space="preserve"> </v>
      </c>
      <c r="L21" s="623"/>
      <c r="M21" s="622" t="str">
        <f>IF(B8_04_3VPROV=0," ",B8_04_3VPROV/Index!G11*B8_04_INSTAND)</f>
        <v xml:space="preserve"> </v>
      </c>
      <c r="N21" s="623"/>
      <c r="O21" s="12"/>
    </row>
    <row r="22" spans="1:15" ht="11.25" customHeight="1" thickBot="1" x14ac:dyDescent="0.25">
      <c r="A22" s="44"/>
      <c r="B22" s="1080" t="s">
        <v>774</v>
      </c>
      <c r="C22" s="1081"/>
      <c r="D22" s="770" t="s">
        <v>210</v>
      </c>
      <c r="E22" s="770"/>
      <c r="F22" s="771">
        <f>SUM(F19:F21)</f>
        <v>0</v>
      </c>
      <c r="G22" s="772"/>
      <c r="H22" s="773" t="s">
        <v>19</v>
      </c>
      <c r="I22" s="771">
        <f>SUM(I19:I21)</f>
        <v>0</v>
      </c>
      <c r="J22" s="774"/>
      <c r="K22" s="771">
        <f>SUM(K19:K21)</f>
        <v>0</v>
      </c>
      <c r="L22" s="774"/>
      <c r="M22" s="771">
        <f>SUM(M19:M21)</f>
        <v>0</v>
      </c>
      <c r="N22" s="774"/>
      <c r="O22" s="12"/>
    </row>
    <row r="23" spans="1:15" ht="2.25" customHeight="1" x14ac:dyDescent="0.2">
      <c r="A23" s="44"/>
      <c r="B23" s="605"/>
      <c r="C23" s="605"/>
      <c r="D23" s="606"/>
      <c r="E23" s="606"/>
      <c r="F23" s="608"/>
      <c r="G23" s="607"/>
      <c r="H23" s="609"/>
      <c r="I23" s="608"/>
      <c r="J23" s="607"/>
      <c r="K23" s="608"/>
      <c r="L23" s="607"/>
      <c r="M23" s="608"/>
      <c r="N23" s="607"/>
      <c r="O23" s="9"/>
    </row>
    <row r="24" spans="1:15" ht="2.25" customHeight="1" x14ac:dyDescent="0.2">
      <c r="A24" s="44"/>
      <c r="B24" s="619"/>
      <c r="C24" s="619"/>
      <c r="D24" s="452"/>
      <c r="E24" s="452"/>
      <c r="F24" s="620"/>
      <c r="G24" s="621"/>
      <c r="H24" s="213"/>
      <c r="I24" s="620"/>
      <c r="J24" s="621"/>
      <c r="K24" s="620"/>
      <c r="L24" s="621"/>
      <c r="M24" s="620"/>
      <c r="N24" s="621"/>
      <c r="O24" s="9"/>
    </row>
    <row r="25" spans="1:15" x14ac:dyDescent="0.2">
      <c r="A25" s="44"/>
      <c r="B25" s="11" t="s">
        <v>772</v>
      </c>
      <c r="C25" s="9"/>
      <c r="D25" s="9"/>
      <c r="G25" s="9"/>
      <c r="H25" s="9"/>
      <c r="I25" s="12"/>
      <c r="J25" s="9"/>
      <c r="K25" s="12"/>
      <c r="L25" s="9"/>
      <c r="M25" s="12"/>
      <c r="N25" s="543"/>
      <c r="O25" s="9"/>
    </row>
    <row r="26" spans="1:15" ht="0.75" customHeight="1" thickBot="1" x14ac:dyDescent="0.25">
      <c r="A26" s="44"/>
      <c r="B26" s="9"/>
      <c r="C26" s="9"/>
      <c r="D26" s="9"/>
      <c r="F26" s="31" t="s">
        <v>79</v>
      </c>
      <c r="G26" s="31"/>
      <c r="H26" s="9"/>
      <c r="I26" s="1085" t="s">
        <v>83</v>
      </c>
      <c r="J26" s="1085"/>
      <c r="K26" s="1085"/>
      <c r="L26" s="1085"/>
      <c r="M26" s="1085"/>
      <c r="N26" s="542"/>
      <c r="O26" s="9"/>
    </row>
    <row r="27" spans="1:15" ht="12" hidden="1" customHeight="1" x14ac:dyDescent="0.2">
      <c r="A27" s="44"/>
      <c r="B27" s="44"/>
      <c r="C27" s="44"/>
      <c r="D27" s="44"/>
      <c r="E27" s="44"/>
      <c r="F27" s="243"/>
      <c r="G27" s="243"/>
      <c r="H27" s="44"/>
      <c r="I27" s="243" t="s">
        <v>80</v>
      </c>
      <c r="J27" s="243"/>
      <c r="K27" s="243" t="s">
        <v>81</v>
      </c>
      <c r="L27" s="243"/>
      <c r="M27" s="243" t="s">
        <v>82</v>
      </c>
      <c r="N27" s="243"/>
      <c r="O27" s="9"/>
    </row>
    <row r="28" spans="1:15" ht="11.25" customHeight="1" x14ac:dyDescent="0.2">
      <c r="A28" s="44"/>
      <c r="B28" s="571" t="s">
        <v>0</v>
      </c>
      <c r="C28" s="571"/>
      <c r="D28" s="598"/>
      <c r="E28" s="599" t="s">
        <v>578</v>
      </c>
      <c r="F28" s="596">
        <f>IF(B8_04_7FUEI&gt;0,B8_04_7FUEI,IF(B8_04_6FUEI&gt;0,B8_04_6FUEI,IF(B8_04_5FUEI&gt;0,B8_04_5FUEI,IF(B8_04_4FUEI&gt;0,B8_04_4FUEI,IF(B8_04_3FUEI&gt;0,B8_04_3FUEI,IF(B8_04_2FUEI&gt;0,B8_04_2FUEI,IF(B8_04_1FUEI&gt;0,B8_04_1FUEI,0)))))))</f>
        <v>0</v>
      </c>
      <c r="G28" s="1094" t="s">
        <v>743</v>
      </c>
      <c r="H28" s="1095"/>
      <c r="I28" s="596">
        <f>B8_04_1VFUEI</f>
        <v>0</v>
      </c>
      <c r="J28" s="597" t="str">
        <f>IF(I28=0," ",I28/$F$28)</f>
        <v xml:space="preserve"> </v>
      </c>
      <c r="K28" s="596">
        <f>B8_04_2VFUEI</f>
        <v>0</v>
      </c>
      <c r="L28" s="597" t="str">
        <f>IF(K28=0," ",K28/$F$28)</f>
        <v xml:space="preserve"> </v>
      </c>
      <c r="M28" s="596">
        <f>B8_04_3VFUEI</f>
        <v>0</v>
      </c>
      <c r="N28" s="597" t="str">
        <f>IF(M28=0," ",M28/$F$28)</f>
        <v xml:space="preserve"> </v>
      </c>
      <c r="O28" s="9"/>
    </row>
    <row r="29" spans="1:15" ht="11.25" customHeight="1" x14ac:dyDescent="0.2">
      <c r="A29" s="44"/>
      <c r="B29" s="9"/>
      <c r="C29" s="9"/>
      <c r="D29" s="29"/>
      <c r="E29" s="549" t="s">
        <v>742</v>
      </c>
      <c r="F29" s="566">
        <f>IF(Kostenentwicklung!Q95&gt;0,Kostenentwicklung!Q95,IF(Kostenentwicklung!O95&gt;0,Kostenentwicklung!O95,IF(Kostenentwicklung!M95&gt;0,Kostenentwicklung!M95,IF(Kostenentwicklung!K95&gt;0,Kostenentwicklung!K95,IF(Kostenentwicklung!I95&gt;0,Kostenentwicklung!I95,IF(B8_04_2FUE2+Eingabe!H26+Eingabe!H28&gt;0,B8_04_2FUE2+Eingabe!H26+Eingabe!H28,IF(B8_04_1FUE2+Eingabe!G26+Eingabe!G28&gt;0,B8_04_1FUE2+Eingabe!G26+Eingabe!G28,0)))))))</f>
        <v>0</v>
      </c>
      <c r="G29" s="1096" t="s">
        <v>769</v>
      </c>
      <c r="H29" s="1097"/>
      <c r="I29" s="566">
        <f>B8_04_1VFUE234</f>
        <v>0</v>
      </c>
      <c r="J29" s="554" t="str">
        <f>IF(I29=0," ",I29/$F$29)</f>
        <v xml:space="preserve"> </v>
      </c>
      <c r="K29" s="566">
        <f>B8_04_2VFUE234</f>
        <v>0</v>
      </c>
      <c r="L29" s="554" t="str">
        <f>IF(K29=0," ",K29/$F$29)</f>
        <v xml:space="preserve"> </v>
      </c>
      <c r="M29" s="566">
        <f>B8_04_3VFUE234</f>
        <v>0</v>
      </c>
      <c r="N29" s="554" t="str">
        <f>IF(M29=0," ",M29/$F$29)</f>
        <v xml:space="preserve"> </v>
      </c>
      <c r="O29" s="9"/>
    </row>
    <row r="30" spans="1:15" ht="11.25" customHeight="1" x14ac:dyDescent="0.2">
      <c r="A30" s="44"/>
      <c r="B30" s="9" t="s">
        <v>0</v>
      </c>
      <c r="C30" s="9"/>
      <c r="D30" s="29"/>
      <c r="E30" s="549" t="s">
        <v>341</v>
      </c>
      <c r="F30" s="566">
        <f>IF(B8_04_7TFEI&gt;0,B8_04_7TFEI,IF(B8_04_6TFEI&gt;0,B8_04_6TFEI,IF(B8_04_5TFEI&gt;0,B8_04_5TFEI,IF(B8_04_4TFEI&gt;0,B8_04_4TFEI,IF(B8_04_3TFEI&gt;0,B8_04_3TFEI,IF(B8_04_2TFEI&gt;0,B8_04_2TFEI,IF(B8_04_1TFEI&gt;0,B8_04_1TFEI,0)))))))</f>
        <v>0</v>
      </c>
      <c r="G30" s="1098" t="s">
        <v>770</v>
      </c>
      <c r="H30" s="1099"/>
      <c r="I30" s="566">
        <f>B8_04_1VTFEI</f>
        <v>0</v>
      </c>
      <c r="J30" s="554" t="str">
        <f>IF(I30=0," ",I30/$F$30)</f>
        <v xml:space="preserve"> </v>
      </c>
      <c r="K30" s="566">
        <f>B8_04_2VTFEI</f>
        <v>0</v>
      </c>
      <c r="L30" s="554" t="str">
        <f>IF(K30=0," ",K30/$F$30)</f>
        <v xml:space="preserve"> </v>
      </c>
      <c r="M30" s="566">
        <f>B8_04_3VTFEI</f>
        <v>0</v>
      </c>
      <c r="N30" s="554" t="str">
        <f>IF(M30=0," ",M30/$F$30)</f>
        <v xml:space="preserve"> </v>
      </c>
      <c r="O30" s="9"/>
    </row>
    <row r="31" spans="1:15" ht="11.25" customHeight="1" x14ac:dyDescent="0.2">
      <c r="A31" s="44"/>
      <c r="B31" s="9" t="s">
        <v>0</v>
      </c>
      <c r="C31" s="9"/>
      <c r="D31" s="29"/>
      <c r="E31" s="549" t="s">
        <v>340</v>
      </c>
      <c r="F31" s="566">
        <f>IF(B8_04_7TGEH&gt;0,B8_04_7TGEH,IF(B8_04_6TGEH&gt;0,B8_04_6TGEH,IF(B8_04_5TGEH&gt;0,B8_04_5TGEH,IF(B8_04_4TGEH&gt;0,B8_04_4TGEH,IF(B8_04_3TGEH&gt;0,B8_04_3TGEH,IF(B8_04_2TGEH&gt;0,B8_04_2TGEH,IF(B8_04_1TGEH&gt;0,B8_04_1TGEH,0)))))))</f>
        <v>0</v>
      </c>
      <c r="G31" s="1098" t="s">
        <v>770</v>
      </c>
      <c r="H31" s="1099"/>
      <c r="I31" s="566">
        <f>B8_04_1VTGEH</f>
        <v>0</v>
      </c>
      <c r="J31" s="554" t="str">
        <f>IF(I31=0," ",I31/$F$31)</f>
        <v xml:space="preserve"> </v>
      </c>
      <c r="K31" s="566">
        <f>B8_04_2VTGEH</f>
        <v>0</v>
      </c>
      <c r="L31" s="554" t="str">
        <f>IF(K31=0," ",K31/$F$31)</f>
        <v xml:space="preserve"> </v>
      </c>
      <c r="M31" s="566">
        <f>B8_04_3VTGEH</f>
        <v>0</v>
      </c>
      <c r="N31" s="554" t="str">
        <f>IF(M31=0," ",M31/$F$31)</f>
        <v xml:space="preserve"> </v>
      </c>
      <c r="O31" s="9"/>
    </row>
    <row r="32" spans="1:15" ht="11.25" customHeight="1" x14ac:dyDescent="0.2">
      <c r="A32" s="44"/>
      <c r="B32" s="9" t="s">
        <v>0</v>
      </c>
      <c r="C32" s="9"/>
      <c r="D32" s="29"/>
      <c r="E32" s="549" t="s">
        <v>342</v>
      </c>
      <c r="F32" s="566">
        <f>IF(B8_04_7GEGE&gt;0,B8_04_7GEGE,IF(B8_04_6GEGE&gt;0,B8_04_6GEGE,IF(B8_04_5GEGE&gt;0,B8_04_5GEGE,IF(B8_04_4GEGE&gt;0,B8_04_4GEGE,IF(B8_04_3GEGE&gt;0,B8_04_3GEGE,IF(B8_04_2GEGE&gt;0,B8_04_2GEGE,IF(B8_04_1GEGE&gt;0,B8_04_1GEGE,0)))))))</f>
        <v>0</v>
      </c>
      <c r="G32" s="1098" t="s">
        <v>770</v>
      </c>
      <c r="H32" s="1099"/>
      <c r="I32" s="566">
        <f>B8_04_1VGEGE</f>
        <v>0</v>
      </c>
      <c r="J32" s="554" t="str">
        <f>IF(I32=0," ",I32/$F$32)</f>
        <v xml:space="preserve"> </v>
      </c>
      <c r="K32" s="566">
        <f>B8_04_2VGEGE</f>
        <v>0</v>
      </c>
      <c r="L32" s="554" t="str">
        <f>IF(K32=0," ",K32/$F$32)</f>
        <v xml:space="preserve"> </v>
      </c>
      <c r="M32" s="566">
        <f>B8_04_3VGEGE</f>
        <v>0</v>
      </c>
      <c r="N32" s="561" t="str">
        <f>IF(M32=0," ",M32/$F$32)</f>
        <v xml:space="preserve"> </v>
      </c>
      <c r="O32" s="9"/>
    </row>
    <row r="33" spans="1:17" ht="11.25" customHeight="1" thickBot="1" x14ac:dyDescent="0.25">
      <c r="A33" s="44"/>
      <c r="B33" s="594" t="s">
        <v>0</v>
      </c>
      <c r="C33" s="594"/>
      <c r="D33" s="618"/>
      <c r="E33" s="616" t="s">
        <v>343</v>
      </c>
      <c r="F33" s="581">
        <f>IF(B8_04_7GEVO&gt;0,B8_04_7GEVO,IF(B8_04_6GEVO&gt;0,B8_04_6GEVO,IF(B8_04_5GEVO&gt;0,B8_04_5GEVO,IF(B8_04_4GEVO&gt;0,B8_04_4GEVO,IF(B8_04_3GEVO&gt;0,B8_04_3GEVO,IF(B8_04_2GEVO&gt;0,B8_04_2GEVO,IF(B8_04_1GEVO&gt;0,B8_04_1GEVO,0)))))))</f>
        <v>0</v>
      </c>
      <c r="G33" s="1100" t="s">
        <v>771</v>
      </c>
      <c r="H33" s="1101"/>
      <c r="I33" s="581">
        <f>B8_04_1VGEVO</f>
        <v>0</v>
      </c>
      <c r="J33" s="583" t="str">
        <f>IF(I33=0," ",I33/$F$33)</f>
        <v xml:space="preserve"> </v>
      </c>
      <c r="K33" s="581">
        <f>B8_04_2VGEVO</f>
        <v>0</v>
      </c>
      <c r="L33" s="583" t="str">
        <f>IF(K33=0," ",K33/$F$33)</f>
        <v xml:space="preserve"> </v>
      </c>
      <c r="M33" s="581">
        <f>B8_04_3VGEVO</f>
        <v>0</v>
      </c>
      <c r="N33" s="583" t="str">
        <f>IF(M33=0," ",M33/$F$33)</f>
        <v xml:space="preserve"> </v>
      </c>
      <c r="O33" s="9"/>
    </row>
    <row r="34" spans="1:17" ht="11.25" customHeight="1" x14ac:dyDescent="0.2">
      <c r="A34" s="44"/>
      <c r="B34" s="9" t="s">
        <v>0</v>
      </c>
      <c r="C34" s="9"/>
      <c r="D34" s="29"/>
      <c r="E34" s="549"/>
      <c r="F34" s="322"/>
      <c r="G34" s="550"/>
      <c r="H34" s="9"/>
      <c r="I34" s="322"/>
      <c r="J34" s="550"/>
      <c r="K34" s="322"/>
      <c r="L34" s="551"/>
      <c r="M34" s="322"/>
      <c r="N34" s="551"/>
      <c r="O34" s="9"/>
    </row>
    <row r="35" spans="1:17" ht="11.25" customHeight="1" thickBot="1" x14ac:dyDescent="0.25">
      <c r="A35" s="44"/>
      <c r="B35" s="591" t="s">
        <v>667</v>
      </c>
      <c r="C35" s="592"/>
      <c r="D35" s="592"/>
      <c r="E35" s="586"/>
      <c r="F35" s="587"/>
      <c r="G35" s="593"/>
      <c r="H35" s="594"/>
      <c r="I35" s="587"/>
      <c r="J35" s="593"/>
      <c r="K35" s="587"/>
      <c r="L35" s="595"/>
      <c r="M35" s="587"/>
      <c r="N35" s="595"/>
      <c r="O35" s="9"/>
    </row>
    <row r="36" spans="1:17" ht="11.25" customHeight="1" x14ac:dyDescent="0.2">
      <c r="A36" s="44"/>
      <c r="B36" s="9" t="s">
        <v>0</v>
      </c>
      <c r="C36" s="9"/>
      <c r="D36" s="29"/>
      <c r="E36" s="549" t="s">
        <v>764</v>
      </c>
      <c r="F36" s="562" t="str">
        <f>IF(F28=0," ",F19/F28)</f>
        <v xml:space="preserve"> </v>
      </c>
      <c r="G36" s="1092" t="s">
        <v>678</v>
      </c>
      <c r="H36" s="1093"/>
      <c r="I36" s="562" t="str">
        <f>IF(I28=0," ",I19/I28)</f>
        <v xml:space="preserve"> </v>
      </c>
      <c r="J36" s="561" t="str">
        <f>IF(I28=0," ",I36/$F$36)</f>
        <v xml:space="preserve"> </v>
      </c>
      <c r="K36" s="562" t="str">
        <f>IF(K28=0," ",K19/K28)</f>
        <v xml:space="preserve"> </v>
      </c>
      <c r="L36" s="561" t="str">
        <f>IF(K28=0," ",K36/$F$36)</f>
        <v xml:space="preserve"> </v>
      </c>
      <c r="M36" s="562" t="str">
        <f>IF(M28=0," ",M19/M28)</f>
        <v xml:space="preserve"> </v>
      </c>
      <c r="N36" s="561" t="str">
        <f>IF(M28=0," ",M36/$F$36)</f>
        <v xml:space="preserve"> </v>
      </c>
      <c r="O36" s="9"/>
    </row>
    <row r="37" spans="1:17" ht="11.25" customHeight="1" x14ac:dyDescent="0.2">
      <c r="A37" s="44"/>
      <c r="B37" s="9" t="s">
        <v>0</v>
      </c>
      <c r="C37" s="9"/>
      <c r="D37" s="29"/>
      <c r="E37" s="549" t="s">
        <v>764</v>
      </c>
      <c r="F37" s="566" t="str">
        <f>IF(F30=0," ",F19/F30)</f>
        <v xml:space="preserve"> </v>
      </c>
      <c r="G37" s="1088" t="s">
        <v>740</v>
      </c>
      <c r="H37" s="1089"/>
      <c r="I37" s="566" t="str">
        <f>IF(I30=0," ",I19/I30)</f>
        <v xml:space="preserve"> </v>
      </c>
      <c r="J37" s="554" t="str">
        <f>IF(I30=0," ",I37/$F$37)</f>
        <v xml:space="preserve"> </v>
      </c>
      <c r="K37" s="566" t="str">
        <f>IF(K30=0," ",K19/K30)</f>
        <v xml:space="preserve"> </v>
      </c>
      <c r="L37" s="554" t="str">
        <f>IF(K30=0," ",K37/$F$37)</f>
        <v xml:space="preserve"> </v>
      </c>
      <c r="M37" s="566" t="str">
        <f>IF(M30=0," ",M19/M30)</f>
        <v xml:space="preserve"> </v>
      </c>
      <c r="N37" s="554" t="str">
        <f>IF(M30=0," ",M37/$F$37)</f>
        <v xml:space="preserve"> </v>
      </c>
      <c r="O37" s="9"/>
      <c r="Q37" s="268"/>
    </row>
    <row r="38" spans="1:17" ht="11.25" customHeight="1" x14ac:dyDescent="0.2">
      <c r="A38" s="44"/>
      <c r="B38" s="9" t="s">
        <v>0</v>
      </c>
      <c r="C38" s="9"/>
      <c r="D38" s="29"/>
      <c r="E38" s="549" t="s">
        <v>764</v>
      </c>
      <c r="F38" s="566" t="str">
        <f>IF(F31=0," ",F19/F31)</f>
        <v xml:space="preserve"> </v>
      </c>
      <c r="G38" s="1088" t="s">
        <v>738</v>
      </c>
      <c r="H38" s="1089"/>
      <c r="I38" s="566" t="str">
        <f>IF(I31=0," ",I19/I31)</f>
        <v xml:space="preserve"> </v>
      </c>
      <c r="J38" s="554" t="str">
        <f>IF(I31=0," ",I38/$F$38)</f>
        <v xml:space="preserve"> </v>
      </c>
      <c r="K38" s="566" t="str">
        <f>IF(K31=0," ",K19/K31)</f>
        <v xml:space="preserve"> </v>
      </c>
      <c r="L38" s="554" t="str">
        <f>IF(K31=0," ",K38/$F$38)</f>
        <v xml:space="preserve"> </v>
      </c>
      <c r="M38" s="566" t="str">
        <f>IF(M31=0," ",M19/M31)</f>
        <v xml:space="preserve"> </v>
      </c>
      <c r="N38" s="561" t="str">
        <f>IF(M31=0," ",M38/$F$38)</f>
        <v xml:space="preserve"> </v>
      </c>
      <c r="O38" s="9"/>
      <c r="Q38" s="268"/>
    </row>
    <row r="39" spans="1:17" ht="11.25" customHeight="1" thickBot="1" x14ac:dyDescent="0.25">
      <c r="A39" s="44"/>
      <c r="B39" s="9" t="s">
        <v>0</v>
      </c>
      <c r="C39" s="9"/>
      <c r="D39" s="29"/>
      <c r="E39" s="549" t="s">
        <v>764</v>
      </c>
      <c r="F39" s="581" t="str">
        <f>IF(F33=0," ",F19/F33)</f>
        <v xml:space="preserve"> </v>
      </c>
      <c r="G39" s="1086" t="s">
        <v>803</v>
      </c>
      <c r="H39" s="1087"/>
      <c r="I39" s="581" t="str">
        <f>IF(I33=0," ",I19/I33)</f>
        <v xml:space="preserve"> </v>
      </c>
      <c r="J39" s="583" t="str">
        <f>IF(I33=0," ",I39/$F$39)</f>
        <v xml:space="preserve"> </v>
      </c>
      <c r="K39" s="581" t="str">
        <f>IF(K33=0," ",K19/K33)</f>
        <v xml:space="preserve"> </v>
      </c>
      <c r="L39" s="583" t="str">
        <f>IF(K33=0," ",K39/$F$39)</f>
        <v xml:space="preserve"> </v>
      </c>
      <c r="M39" s="581" t="str">
        <f>IF(M33=0," ",M19/M33)</f>
        <v xml:space="preserve"> </v>
      </c>
      <c r="N39" s="583" t="str">
        <f>IF(M33=0," ",M39/$F$39)</f>
        <v xml:space="preserve"> </v>
      </c>
      <c r="O39" s="9"/>
      <c r="Q39" s="268"/>
    </row>
    <row r="40" spans="1:17" ht="11.25" customHeight="1" x14ac:dyDescent="0.2">
      <c r="A40" s="44"/>
      <c r="B40" s="9"/>
      <c r="C40" s="9"/>
      <c r="D40" s="29"/>
      <c r="E40" s="549"/>
      <c r="F40" s="562"/>
      <c r="G40" s="575"/>
      <c r="H40" s="576"/>
      <c r="I40" s="562"/>
      <c r="J40" s="563"/>
      <c r="K40" s="562"/>
      <c r="L40" s="565"/>
      <c r="M40" s="562"/>
      <c r="N40" s="565"/>
      <c r="O40" s="9"/>
      <c r="Q40" s="268"/>
    </row>
    <row r="41" spans="1:17" ht="11.25" customHeight="1" x14ac:dyDescent="0.2">
      <c r="A41" s="44"/>
      <c r="B41" s="9" t="s">
        <v>0</v>
      </c>
      <c r="C41" s="9"/>
      <c r="D41" s="29"/>
      <c r="E41" s="549" t="s">
        <v>744</v>
      </c>
      <c r="F41" s="562" t="str">
        <f>IF(F28=0," ",F13/F28)</f>
        <v xml:space="preserve"> </v>
      </c>
      <c r="G41" s="1088" t="s">
        <v>206</v>
      </c>
      <c r="H41" s="1089"/>
      <c r="I41" s="562" t="str">
        <f>IF(I28=0," ",I13/I28)</f>
        <v xml:space="preserve"> </v>
      </c>
      <c r="J41" s="561" t="str">
        <f>IF(I28=0," ",I41/$F$41)</f>
        <v xml:space="preserve"> </v>
      </c>
      <c r="K41" s="562" t="str">
        <f>IF(K28=0," ",K13/K28)</f>
        <v xml:space="preserve"> </v>
      </c>
      <c r="L41" s="561" t="str">
        <f>IF(K28=0," ",K41/$F$41)</f>
        <v xml:space="preserve"> </v>
      </c>
      <c r="M41" s="562" t="str">
        <f>IF(M28=0," ",M13/M28)</f>
        <v xml:space="preserve"> </v>
      </c>
      <c r="N41" s="561" t="str">
        <f>IF(M28=0," ",M41/$F$41)</f>
        <v xml:space="preserve"> </v>
      </c>
      <c r="O41" s="9"/>
      <c r="Q41" s="268"/>
    </row>
    <row r="42" spans="1:17" ht="11.25" customHeight="1" x14ac:dyDescent="0.2">
      <c r="A42" s="44"/>
      <c r="B42" s="9" t="s">
        <v>0</v>
      </c>
      <c r="C42" s="9"/>
      <c r="D42" s="29"/>
      <c r="E42" s="549" t="s">
        <v>744</v>
      </c>
      <c r="F42" s="566" t="str">
        <f>IF(F30=0," ",F13/F30)</f>
        <v xml:space="preserve"> </v>
      </c>
      <c r="G42" s="1088" t="s">
        <v>740</v>
      </c>
      <c r="H42" s="1089"/>
      <c r="I42" s="566" t="str">
        <f>IF(I30=0," ",I13/I30)</f>
        <v xml:space="preserve"> </v>
      </c>
      <c r="J42" s="554" t="str">
        <f>IF(I30=0," ",I42/$F$42)</f>
        <v xml:space="preserve"> </v>
      </c>
      <c r="K42" s="566" t="str">
        <f>IF(K30=0," ",K13/K30)</f>
        <v xml:space="preserve"> </v>
      </c>
      <c r="L42" s="554" t="str">
        <f>IF(K30=0," ",K42/$F$42)</f>
        <v xml:space="preserve"> </v>
      </c>
      <c r="M42" s="566" t="str">
        <f>IF(M30=0," ",M13/M30)</f>
        <v xml:space="preserve"> </v>
      </c>
      <c r="N42" s="554" t="str">
        <f>IF(M30=0," ",M42/$F$42)</f>
        <v xml:space="preserve"> </v>
      </c>
      <c r="O42" s="9"/>
      <c r="Q42" s="268"/>
    </row>
    <row r="43" spans="1:17" ht="11.25" customHeight="1" x14ac:dyDescent="0.2">
      <c r="A43" s="44"/>
      <c r="B43" s="9" t="s">
        <v>0</v>
      </c>
      <c r="C43" s="9"/>
      <c r="D43" s="29"/>
      <c r="E43" s="549" t="s">
        <v>744</v>
      </c>
      <c r="F43" s="566" t="str">
        <f>IF(F31=0," ",F13/F31)</f>
        <v xml:space="preserve"> </v>
      </c>
      <c r="G43" s="1088" t="s">
        <v>738</v>
      </c>
      <c r="H43" s="1089"/>
      <c r="I43" s="566" t="str">
        <f>IF(I31=0," ",I13/I31)</f>
        <v xml:space="preserve"> </v>
      </c>
      <c r="J43" s="554" t="str">
        <f>IF(I32=0," ",I43/$F$43)</f>
        <v xml:space="preserve"> </v>
      </c>
      <c r="K43" s="566" t="str">
        <f>IF(K31=0," ",K13/K31)</f>
        <v xml:space="preserve"> </v>
      </c>
      <c r="L43" s="554" t="str">
        <f>IF(K32=0," ",K43/$F$43)</f>
        <v xml:space="preserve"> </v>
      </c>
      <c r="M43" s="566" t="str">
        <f>IF(M31=0," ",M13/M31)</f>
        <v xml:space="preserve"> </v>
      </c>
      <c r="N43" s="554" t="str">
        <f>IF(M32=0," ",M43/$F$43)</f>
        <v xml:space="preserve"> </v>
      </c>
      <c r="O43" s="9"/>
      <c r="Q43" s="268"/>
    </row>
    <row r="44" spans="1:17" ht="11.25" customHeight="1" thickBot="1" x14ac:dyDescent="0.25">
      <c r="A44" s="44"/>
      <c r="B44" s="9" t="s">
        <v>0</v>
      </c>
      <c r="C44" s="9"/>
      <c r="D44" s="29"/>
      <c r="E44" s="549" t="s">
        <v>744</v>
      </c>
      <c r="F44" s="581" t="str">
        <f>IF(F33=0," ",F13/F33)</f>
        <v xml:space="preserve"> </v>
      </c>
      <c r="G44" s="1086" t="s">
        <v>803</v>
      </c>
      <c r="H44" s="1087"/>
      <c r="I44" s="581" t="str">
        <f>IF(I33=0," ",I13/I33)</f>
        <v xml:space="preserve"> </v>
      </c>
      <c r="J44" s="555" t="str">
        <f>IF(I33=0," ",I44/$F$44)</f>
        <v xml:space="preserve"> </v>
      </c>
      <c r="K44" s="322" t="str">
        <f>IF(K33=0," ",K13/K33)</f>
        <v xml:space="preserve"> </v>
      </c>
      <c r="L44" s="555" t="str">
        <f>IF(K33=0," ",K44/$F$44)</f>
        <v xml:space="preserve"> </v>
      </c>
      <c r="M44" s="322" t="str">
        <f>IF(M33=0," ",M13/M33)</f>
        <v xml:space="preserve"> </v>
      </c>
      <c r="N44" s="555" t="str">
        <f>IF(M33=0," ",M44/$F$44)</f>
        <v xml:space="preserve"> </v>
      </c>
      <c r="O44" s="9"/>
      <c r="Q44" s="268"/>
    </row>
    <row r="45" spans="1:17" hidden="1" x14ac:dyDescent="0.2">
      <c r="A45" s="385"/>
      <c r="B45" s="417"/>
      <c r="C45" s="417"/>
      <c r="D45" s="545"/>
      <c r="E45" s="414" t="s">
        <v>668</v>
      </c>
      <c r="F45" s="453"/>
      <c r="G45" s="577"/>
      <c r="H45" s="578"/>
      <c r="I45" s="322"/>
      <c r="J45" s="558"/>
      <c r="K45" s="556"/>
      <c r="L45" s="558"/>
      <c r="M45" s="556"/>
      <c r="N45" s="559"/>
      <c r="O45" s="9"/>
      <c r="Q45" s="268"/>
    </row>
    <row r="46" spans="1:17" hidden="1" x14ac:dyDescent="0.2">
      <c r="A46" s="385"/>
      <c r="B46" s="205"/>
      <c r="C46" s="205"/>
      <c r="D46" s="420"/>
      <c r="E46" s="415" t="s">
        <v>645</v>
      </c>
      <c r="F46" s="582" t="str">
        <f>IF(Kostenentwicklung!Q116&lt;&gt;0,Kostenentwicklung!Q116,IF(Kostenentwicklung!O116&lt;&gt;0,Kostenentwicklung!O116,IF(Kostenentwicklung!M116&lt;&gt;0,Kostenentwicklung!M116,IF(Kostenentwicklung!K116&lt;&gt;0,Kostenentwicklung!K116,IF(Kostenentwicklung!I116&lt;&gt;0,Kostenentwicklung!I116,0)))))</f>
        <v xml:space="preserve"> </v>
      </c>
      <c r="G46" s="966" t="s">
        <v>206</v>
      </c>
      <c r="H46" s="966"/>
      <c r="I46" s="322" t="str">
        <f>IF(B8_04_1VPM1=0," ",B8_04_1VPM1/Index!G7*B8_04_INSTAND)</f>
        <v xml:space="preserve"> </v>
      </c>
      <c r="J46" s="555"/>
      <c r="K46" s="322" t="str">
        <f>IF(B8_04_2VPM1=0," ",B8_04_2VPM1/Index!G9*B8_04_INSTAND)</f>
        <v xml:space="preserve"> </v>
      </c>
      <c r="L46" s="555"/>
      <c r="M46" s="322" t="str">
        <f>IF(B8_04_3VPM1=0," ",B8_04_3VPM1/Index!G11*B8_04_INSTAND)</f>
        <v xml:space="preserve"> </v>
      </c>
      <c r="N46" s="552"/>
      <c r="O46" s="9"/>
      <c r="Q46" s="268"/>
    </row>
    <row r="47" spans="1:17" hidden="1" x14ac:dyDescent="0.2">
      <c r="A47" s="385"/>
      <c r="B47" s="205"/>
      <c r="C47" s="205"/>
      <c r="D47" s="420"/>
      <c r="E47" s="415" t="s">
        <v>646</v>
      </c>
      <c r="F47" s="582" t="str">
        <f>IF(Kostenentwicklung!Q117&lt;&gt;0,Kostenentwicklung!Q117,IF(Kostenentwicklung!O117&lt;&gt;0,Kostenentwicklung!O117,IF(Kostenentwicklung!M117&lt;&gt;0,Kostenentwicklung!M117,IF(Kostenentwicklung!K117&lt;&gt;0,Kostenentwicklung!K117,IF(Kostenentwicklung!I117&lt;&gt;0,Kostenentwicklung!I117,0)))))</f>
        <v xml:space="preserve"> </v>
      </c>
      <c r="G47" s="966" t="s">
        <v>649</v>
      </c>
      <c r="H47" s="966"/>
      <c r="I47" s="322" t="str">
        <f>IF(B8_04_1VPM2=0," ",B8_04_1VPM2/Index!G7*B8_04_INSTAND)</f>
        <v xml:space="preserve"> </v>
      </c>
      <c r="J47" s="555"/>
      <c r="K47" s="322" t="str">
        <f>IF(B8_04_2VPM2=0," ",B8_04_2VPM2/Index!G9*B8_04_INSTAND)</f>
        <v xml:space="preserve"> </v>
      </c>
      <c r="L47" s="555"/>
      <c r="M47" s="322" t="str">
        <f>IF(B8_04_3VPM2=0," ",B8_04_3VPM2/Index!G11*B8_04_INSTAND)</f>
        <v xml:space="preserve"> </v>
      </c>
      <c r="N47" s="552"/>
      <c r="O47" s="9"/>
      <c r="Q47" s="268"/>
    </row>
    <row r="48" spans="1:17" hidden="1" x14ac:dyDescent="0.2">
      <c r="A48" s="385"/>
      <c r="B48" s="139"/>
      <c r="C48" s="139"/>
      <c r="D48" s="544"/>
      <c r="E48" s="548" t="s">
        <v>647</v>
      </c>
      <c r="F48" s="582" t="str">
        <f>IF(Kostenentwicklung!Q118&lt;&gt;0,Kostenentwicklung!Q118,IF(Kostenentwicklung!O118&lt;&gt;0,Kostenentwicklung!O118,IF(Kostenentwicklung!M118&lt;&gt;0,Kostenentwicklung!M118,IF(Kostenentwicklung!K118&lt;&gt;0,Kostenentwicklung!K118,IF(Kostenentwicklung!I118&lt;&gt;0,Kostenentwicklung!I118,0)))))</f>
        <v xml:space="preserve"> </v>
      </c>
      <c r="G48" s="966" t="s">
        <v>649</v>
      </c>
      <c r="H48" s="966"/>
      <c r="I48" s="322" t="str">
        <f>IF(B8_04_1VPM3=0," ",B8_04_1VPM3/Index!G7*B8_04_INSTAND)</f>
        <v xml:space="preserve"> </v>
      </c>
      <c r="J48" s="555"/>
      <c r="K48" s="322" t="str">
        <f>IF(B8_04_2VPM3=0," ",B8_04_2VPM3/Index!G9*B8_04_INSTAND)</f>
        <v xml:space="preserve"> </v>
      </c>
      <c r="L48" s="555"/>
      <c r="M48" s="322" t="str">
        <f>IF(B8_04_3VPM3=0," ",B8_04_3VPM3/Index!G11*B8_04_INSTAND)</f>
        <v xml:space="preserve"> </v>
      </c>
      <c r="N48" s="553"/>
      <c r="O48" s="9"/>
      <c r="Q48" s="268"/>
    </row>
    <row r="49" spans="1:17" x14ac:dyDescent="0.2">
      <c r="A49" s="44"/>
      <c r="B49" s="614"/>
      <c r="C49" s="614"/>
      <c r="D49" s="615"/>
      <c r="E49" s="615"/>
      <c r="F49" s="547"/>
      <c r="G49" s="579"/>
      <c r="H49" s="580"/>
      <c r="I49" s="322"/>
      <c r="J49" s="569"/>
      <c r="K49" s="570"/>
      <c r="L49" s="569"/>
      <c r="M49" s="570"/>
      <c r="N49" s="569"/>
      <c r="O49" s="9"/>
      <c r="Q49" s="268"/>
    </row>
    <row r="50" spans="1:17" ht="12.75" thickBot="1" x14ac:dyDescent="0.25">
      <c r="A50" s="44"/>
      <c r="B50" s="617" t="s">
        <v>768</v>
      </c>
      <c r="C50" s="584"/>
      <c r="D50" s="585"/>
      <c r="E50" s="586"/>
      <c r="F50" s="587"/>
      <c r="G50" s="588"/>
      <c r="H50" s="589"/>
      <c r="I50" s="587"/>
      <c r="J50" s="590"/>
      <c r="K50" s="587"/>
      <c r="L50" s="590"/>
      <c r="M50" s="587"/>
      <c r="N50" s="590"/>
      <c r="O50" s="9"/>
      <c r="Q50" s="268"/>
    </row>
    <row r="51" spans="1:17" x14ac:dyDescent="0.2">
      <c r="A51" s="44"/>
      <c r="B51" s="213"/>
      <c r="C51" s="213"/>
      <c r="D51" s="546"/>
      <c r="E51" s="549" t="s">
        <v>765</v>
      </c>
      <c r="F51" s="562">
        <f>IF(Kostenentwicklung!Q76&lt;&gt;0,Kostenentwicklung!Q121,IF(Kostenentwicklung!O76&lt;&gt;0,Kostenentwicklung!O121,IF(Kostenentwicklung!M76&lt;&gt;0,Kostenentwicklung!M121,IF(Kostenentwicklung!K76&lt;&gt;0,Kostenentwicklung!K121,IF(Kostenentwicklung!I76&lt;&gt;0,Kostenentwicklung!I121,0)))))</f>
        <v>0</v>
      </c>
      <c r="G51" s="1092" t="s">
        <v>206</v>
      </c>
      <c r="H51" s="1093"/>
      <c r="I51" s="562" t="str">
        <f>IF(B8_04_1VPM4=0," ",B8_04_1VPM4/Index!G7*B8_04_INSTAND)</f>
        <v xml:space="preserve"> </v>
      </c>
      <c r="J51" s="561"/>
      <c r="K51" s="562" t="str">
        <f>IF(B8_04_2VPM4=0," ",B8_04_2VPM4/Index!G9*B8_04_INSTAND)</f>
        <v xml:space="preserve"> </v>
      </c>
      <c r="L51" s="561"/>
      <c r="M51" s="562" t="str">
        <f>IF(B8_04_3VPM4=0," ",B8_04_3VPM4/Index!G11*B8_04_INSTAND)</f>
        <v xml:space="preserve"> </v>
      </c>
      <c r="N51" s="561"/>
      <c r="O51" s="9"/>
      <c r="Q51" s="268"/>
    </row>
    <row r="52" spans="1:17" x14ac:dyDescent="0.2">
      <c r="A52" s="44"/>
      <c r="B52" s="213"/>
      <c r="C52" s="213"/>
      <c r="D52" s="546"/>
      <c r="E52" s="549" t="s">
        <v>766</v>
      </c>
      <c r="F52" s="566">
        <f>IF(Kostenentwicklung!Q76&lt;&gt;0,Kostenentwicklung!Q125,IF(Kostenentwicklung!O76&lt;&gt;0,Kostenentwicklung!O125,IF(Kostenentwicklung!M76&lt;&gt;0,Kostenentwicklung!M125,IF(Kostenentwicklung!K76&lt;&gt;0,Kostenentwicklung!K125,IF(Kostenentwicklung!I76&lt;&gt;0,Kostenentwicklung!I125,0)))))</f>
        <v>0</v>
      </c>
      <c r="G52" s="1088" t="s">
        <v>737</v>
      </c>
      <c r="H52" s="1089"/>
      <c r="I52" s="928" t="str">
        <f>IF(B8_04_1VPM5=0," ",B8_04_1VPM5/Index!G7*B8_04_INSTAND)</f>
        <v xml:space="preserve"> </v>
      </c>
      <c r="J52" s="929"/>
      <c r="K52" s="928" t="str">
        <f>IF(B8_04_2VPM5=0," ",B8_04_2VPM5/Index!G9*B8_04_INSTAND)</f>
        <v xml:space="preserve"> </v>
      </c>
      <c r="L52" s="929"/>
      <c r="M52" s="928" t="str">
        <f>IF(B8_04_3VPM5=0," ",B8_04_3VPM5/Index!G11*B8_04_INSTAND)</f>
        <v xml:space="preserve"> </v>
      </c>
      <c r="N52" s="929"/>
      <c r="O52" s="9"/>
      <c r="Q52" s="268"/>
    </row>
    <row r="53" spans="1:17" x14ac:dyDescent="0.2">
      <c r="A53" s="44"/>
      <c r="B53" s="213"/>
      <c r="C53" s="213"/>
      <c r="D53" s="546"/>
      <c r="E53" s="549" t="s">
        <v>767</v>
      </c>
      <c r="F53" s="566">
        <f>IF(Kostenentwicklung!Q76&lt;&gt;0,Kostenentwicklung!Q126,IF(Kostenentwicklung!O76&lt;&gt;0,Kostenentwicklung!O126,IF(Kostenentwicklung!M76&lt;&gt;0,Kostenentwicklung!M126,IF(Kostenentwicklung!K76&lt;&gt;0,Kostenentwicklung!K126,IF(Kostenentwicklung!I76&lt;&gt;0,Kostenentwicklung!I126,0)))))</f>
        <v>0</v>
      </c>
      <c r="G53" s="1090" t="s">
        <v>738</v>
      </c>
      <c r="H53" s="1091"/>
      <c r="I53" s="562" t="str">
        <f>IF(B8_04_1VPM6=0," ",B8_04_1VPM6/Index!G7*B8_04_INSTAND)</f>
        <v xml:space="preserve"> </v>
      </c>
      <c r="J53" s="561"/>
      <c r="K53" s="562" t="str">
        <f>IF(B8_04_2VPM6=0," ",B8_04_2VPM6/Index!G9*B8_04_INSTAND)</f>
        <v xml:space="preserve"> </v>
      </c>
      <c r="L53" s="561"/>
      <c r="M53" s="562" t="str">
        <f>IF(B8_04_3VPM6=0," ",B8_04_3VPM6/Index!G11*B8_04_INSTAND)</f>
        <v xml:space="preserve"> </v>
      </c>
      <c r="N53" s="554"/>
      <c r="O53" s="9"/>
      <c r="Q53" s="268"/>
    </row>
    <row r="54" spans="1:17" ht="12.75" thickBot="1" x14ac:dyDescent="0.25">
      <c r="A54" s="44"/>
      <c r="B54" s="592"/>
      <c r="C54" s="592"/>
      <c r="D54" s="585"/>
      <c r="E54" s="616" t="s">
        <v>767</v>
      </c>
      <c r="F54" s="581">
        <f>IF(Kostenentwicklung!Q76&lt;&gt;0,Kostenentwicklung!Q127,IF(Kostenentwicklung!O76&lt;&gt;0,Kostenentwicklung!O127,IF(Kostenentwicklung!M76&lt;&gt;0,Kostenentwicklung!M127,IF(Kostenentwicklung!K76&lt;&gt;0,Kostenentwicklung!K127,IF(Kostenentwicklung!I76&lt;&gt;0,Kostenentwicklung!I127,0)))))</f>
        <v>0</v>
      </c>
      <c r="G54" s="1086" t="s">
        <v>652</v>
      </c>
      <c r="H54" s="1087"/>
      <c r="I54" s="322" t="str">
        <f>IF(B8_04_1VPM7=0," ",B8_04_1VPM7/Index!G7*B8_04_INSTAND)</f>
        <v xml:space="preserve"> </v>
      </c>
      <c r="J54" s="555"/>
      <c r="K54" s="322" t="str">
        <f>IF(B8_04_2VPM7=0," ",B8_04_2VPM7/Index!G9*B8_04_INSTAND)</f>
        <v xml:space="preserve"> </v>
      </c>
      <c r="L54" s="555"/>
      <c r="M54" s="322" t="str">
        <f>IF(B8_04_3VPM7=0," ",B8_04_3VPM7/Index!G11*B8_04_INSTAND)</f>
        <v xml:space="preserve"> </v>
      </c>
      <c r="N54" s="561"/>
      <c r="O54" s="9"/>
      <c r="Q54" s="268"/>
    </row>
    <row r="55" spans="1:17" ht="12" hidden="1" customHeight="1" x14ac:dyDescent="0.2">
      <c r="F55" s="564"/>
      <c r="G55" s="564"/>
      <c r="Q55" s="268"/>
    </row>
    <row r="56" spans="1:17" x14ac:dyDescent="0.2">
      <c r="A56" s="44"/>
      <c r="F56" s="560"/>
      <c r="G56" s="560"/>
      <c r="H56" s="571"/>
      <c r="I56" s="571"/>
      <c r="J56" s="571"/>
      <c r="K56" s="571"/>
      <c r="L56" s="572"/>
      <c r="M56" s="571"/>
      <c r="N56" s="572"/>
      <c r="Q56" s="268"/>
    </row>
    <row r="57" spans="1:17" x14ac:dyDescent="0.2">
      <c r="Q57" s="268"/>
    </row>
    <row r="58" spans="1:17" x14ac:dyDescent="0.2">
      <c r="Q58" s="268"/>
    </row>
    <row r="59" spans="1:17" x14ac:dyDescent="0.2">
      <c r="Q59" s="268"/>
    </row>
    <row r="60" spans="1:17" x14ac:dyDescent="0.2"/>
    <row r="61" spans="1:17" x14ac:dyDescent="0.2"/>
    <row r="62" spans="1:17" x14ac:dyDescent="0.2"/>
    <row r="63" spans="1:17" x14ac:dyDescent="0.2"/>
    <row r="64" spans="1:17" x14ac:dyDescent="0.2"/>
    <row r="65" x14ac:dyDescent="0.2"/>
    <row r="66" x14ac:dyDescent="0.2"/>
    <row r="67" x14ac:dyDescent="0.2"/>
    <row r="68" x14ac:dyDescent="0.2"/>
    <row r="69" x14ac:dyDescent="0.2"/>
  </sheetData>
  <sheetProtection selectLockedCells="1"/>
  <customSheetViews>
    <customSheetView guid="{1B6E5C62-D61A-47DD-A4A2-485ADD59D1CD}" showPageBreaks="1" printArea="1" hiddenRows="1" hiddenColumns="1">
      <selection activeCell="E15" sqref="E15"/>
      <pageMargins left="0.7" right="0.7" top="0.78740157499999996" bottom="0.78740157499999996" header="0.3" footer="0.3"/>
      <pageSetup paperSize="9" orientation="landscape" verticalDpi="2" r:id="rId1"/>
    </customSheetView>
    <customSheetView guid="{1E00AB2B-C042-4EFC-A145-7C4B4752408A}" showPageBreaks="1" printArea="1" hiddenRows="1" hiddenColumns="1">
      <selection activeCell="D2" sqref="D2"/>
      <pageMargins left="0.7" right="0.7" top="0.78740157499999996" bottom="0.78740157499999996" header="0.3" footer="0.3"/>
      <pageSetup paperSize="9" orientation="landscape" verticalDpi="2" r:id="rId2"/>
    </customSheetView>
  </customSheetViews>
  <mergeCells count="42">
    <mergeCell ref="G42:H42"/>
    <mergeCell ref="G43:H43"/>
    <mergeCell ref="G44:H44"/>
    <mergeCell ref="G28:H28"/>
    <mergeCell ref="G29:H29"/>
    <mergeCell ref="G30:H30"/>
    <mergeCell ref="G31:H31"/>
    <mergeCell ref="G32:H32"/>
    <mergeCell ref="G33:H33"/>
    <mergeCell ref="G36:H36"/>
    <mergeCell ref="G37:H37"/>
    <mergeCell ref="G38:H38"/>
    <mergeCell ref="G39:H39"/>
    <mergeCell ref="G41:H41"/>
    <mergeCell ref="G54:H54"/>
    <mergeCell ref="G52:H52"/>
    <mergeCell ref="G53:H53"/>
    <mergeCell ref="G46:H46"/>
    <mergeCell ref="G47:H47"/>
    <mergeCell ref="G48:H48"/>
    <mergeCell ref="G51:H51"/>
    <mergeCell ref="I26:M26"/>
    <mergeCell ref="K4:L4"/>
    <mergeCell ref="K8:L8"/>
    <mergeCell ref="K5:L5"/>
    <mergeCell ref="F4:G4"/>
    <mergeCell ref="I5:J5"/>
    <mergeCell ref="K6:L7"/>
    <mergeCell ref="I6:J7"/>
    <mergeCell ref="I8:J8"/>
    <mergeCell ref="F6:G7"/>
    <mergeCell ref="B19:C19"/>
    <mergeCell ref="F8:G8"/>
    <mergeCell ref="I4:J4"/>
    <mergeCell ref="B22:C22"/>
    <mergeCell ref="I3:M3"/>
    <mergeCell ref="M8:N8"/>
    <mergeCell ref="M4:N4"/>
    <mergeCell ref="M5:N5"/>
    <mergeCell ref="F3:G3"/>
    <mergeCell ref="F5:G5"/>
    <mergeCell ref="M6:N7"/>
  </mergeCells>
  <phoneticPr fontId="12" type="noConversion"/>
  <conditionalFormatting sqref="F51">
    <cfRule type="cellIs" dxfId="11" priority="7" operator="equal">
      <formula>0</formula>
    </cfRule>
  </conditionalFormatting>
  <conditionalFormatting sqref="F52">
    <cfRule type="cellIs" dxfId="10" priority="6" operator="equal">
      <formula>0</formula>
    </cfRule>
  </conditionalFormatting>
  <conditionalFormatting sqref="F53">
    <cfRule type="cellIs" dxfId="9" priority="5" operator="equal">
      <formula>0</formula>
    </cfRule>
  </conditionalFormatting>
  <conditionalFormatting sqref="F54">
    <cfRule type="cellIs" dxfId="8" priority="4" operator="equal">
      <formula>0</formula>
    </cfRule>
  </conditionalFormatting>
  <conditionalFormatting sqref="I51:I54">
    <cfRule type="cellIs" dxfId="7" priority="3" operator="between">
      <formula>0</formula>
      <formula>1000000000</formula>
    </cfRule>
  </conditionalFormatting>
  <conditionalFormatting sqref="K51:K54">
    <cfRule type="cellIs" dxfId="6" priority="2" operator="between">
      <formula>0</formula>
      <formula>1000000000</formula>
    </cfRule>
  </conditionalFormatting>
  <conditionalFormatting sqref="M51:M54">
    <cfRule type="cellIs" dxfId="5" priority="1" operator="between">
      <formula>0</formula>
      <formula>1000000000</formula>
    </cfRule>
  </conditionalFormatting>
  <pageMargins left="0.70866141732283472" right="0.70866141732283472" top="0.78740157480314965" bottom="0.47244094488188981" header="0.31496062992125984" footer="0.31496062992125984"/>
  <pageSetup paperSize="9" scale="85" orientation="landscape" verticalDpi="2"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3" tint="0.59999389629810485"/>
  </sheetPr>
  <dimension ref="A1:AI70"/>
  <sheetViews>
    <sheetView showGridLines="0" showRowColHeaders="0" zoomScaleNormal="100" zoomScaleSheetLayoutView="50" workbookViewId="0">
      <selection activeCell="D5" sqref="D5:L5"/>
    </sheetView>
  </sheetViews>
  <sheetFormatPr baseColWidth="10" defaultColWidth="11.42578125" defaultRowHeight="12" outlineLevelCol="1" x14ac:dyDescent="0.2"/>
  <cols>
    <col min="1" max="1" width="2.7109375" style="1" customWidth="1"/>
    <col min="2" max="2" width="4.42578125" style="2" customWidth="1"/>
    <col min="3" max="3" width="35" style="2" customWidth="1"/>
    <col min="4" max="4" width="5.42578125" style="9" customWidth="1"/>
    <col min="5" max="5" width="5.7109375" style="2" customWidth="1"/>
    <col min="6" max="6" width="5" style="2" customWidth="1"/>
    <col min="7" max="7" width="10.28515625" style="2" customWidth="1" outlineLevel="1"/>
    <col min="8" max="9" width="5.5703125" style="2" customWidth="1" outlineLevel="1"/>
    <col min="10" max="10" width="11.7109375" style="2" customWidth="1" outlineLevel="1"/>
    <col min="11" max="13" width="12.140625" style="2" customWidth="1" outlineLevel="1"/>
    <col min="14" max="14" width="10.28515625" style="2" customWidth="1" outlineLevel="1"/>
    <col min="15" max="15" width="1.5703125" style="9" customWidth="1"/>
    <col min="16" max="16" width="1.28515625" style="9" hidden="1" customWidth="1"/>
    <col min="17" max="17" width="10.5703125" style="2" customWidth="1" outlineLevel="1"/>
    <col min="18" max="19" width="5.5703125" style="2" customWidth="1" outlineLevel="1"/>
    <col min="20" max="24" width="11.7109375" style="2" customWidth="1" outlineLevel="1"/>
    <col min="25" max="25" width="1.42578125" style="2" customWidth="1"/>
    <col min="26" max="26" width="12.5703125" style="2" customWidth="1" outlineLevel="1"/>
    <col min="27" max="28" width="5.5703125" style="2" customWidth="1" outlineLevel="1"/>
    <col min="29" max="33" width="11.7109375" style="2" customWidth="1" outlineLevel="1"/>
    <col min="34" max="34" width="2.28515625" style="2" hidden="1" customWidth="1"/>
    <col min="35" max="35" width="78.5703125" style="2" hidden="1" customWidth="1"/>
    <col min="36" max="36" width="0.28515625" style="2" customWidth="1"/>
    <col min="37" max="16384" width="11.42578125" style="2"/>
  </cols>
  <sheetData>
    <row r="1" spans="1:35" ht="11.25" customHeight="1" x14ac:dyDescent="0.2">
      <c r="A1" s="185"/>
      <c r="B1" s="3" t="s">
        <v>199</v>
      </c>
      <c r="G1" s="188" t="s">
        <v>57</v>
      </c>
      <c r="H1" s="155"/>
      <c r="I1" s="155"/>
      <c r="J1" s="155"/>
      <c r="K1" s="155"/>
      <c r="L1" s="186"/>
      <c r="M1" s="186"/>
      <c r="N1" s="232"/>
      <c r="O1" s="489"/>
      <c r="P1" s="187"/>
      <c r="Q1" s="188" t="s">
        <v>58</v>
      </c>
      <c r="R1" s="155"/>
      <c r="S1" s="155"/>
      <c r="T1" s="155"/>
      <c r="U1" s="155"/>
      <c r="V1" s="186"/>
      <c r="W1" s="186"/>
      <c r="X1" s="232"/>
      <c r="Y1" s="187"/>
      <c r="Z1" s="188" t="s">
        <v>139</v>
      </c>
      <c r="AA1" s="155"/>
      <c r="AB1" s="155"/>
      <c r="AC1" s="155"/>
      <c r="AD1" s="155"/>
      <c r="AE1" s="186"/>
      <c r="AF1" s="186"/>
      <c r="AG1" s="232"/>
    </row>
    <row r="2" spans="1:35" ht="11.25" customHeight="1" x14ac:dyDescent="0.2">
      <c r="A2" s="185"/>
      <c r="G2" s="190" t="s">
        <v>97</v>
      </c>
      <c r="H2" s="149"/>
      <c r="I2" s="149"/>
      <c r="J2" s="149"/>
      <c r="K2" s="149"/>
      <c r="L2" s="189"/>
      <c r="M2" s="189"/>
      <c r="N2" s="233"/>
      <c r="O2" s="489"/>
      <c r="P2" s="187"/>
      <c r="Q2" s="190" t="s">
        <v>98</v>
      </c>
      <c r="R2" s="149"/>
      <c r="S2" s="149"/>
      <c r="T2" s="149"/>
      <c r="U2" s="149"/>
      <c r="V2" s="189"/>
      <c r="W2" s="189"/>
      <c r="X2" s="233"/>
      <c r="Y2" s="187"/>
      <c r="Z2" s="190" t="s">
        <v>140</v>
      </c>
      <c r="AA2" s="149"/>
      <c r="AB2" s="149"/>
      <c r="AC2" s="149"/>
      <c r="AD2" s="149"/>
      <c r="AE2" s="189"/>
      <c r="AF2" s="189"/>
      <c r="AG2" s="233"/>
    </row>
    <row r="3" spans="1:35" ht="11.25" customHeight="1" x14ac:dyDescent="0.2">
      <c r="A3" s="185"/>
      <c r="B3" s="9"/>
      <c r="C3" s="9"/>
      <c r="E3" s="191" t="s">
        <v>141</v>
      </c>
      <c r="F3" s="9"/>
      <c r="G3" s="1123">
        <f>Eingabe!K3</f>
        <v>0</v>
      </c>
      <c r="H3" s="1124"/>
      <c r="I3" s="1124"/>
      <c r="J3" s="1124"/>
      <c r="K3" s="1124"/>
      <c r="L3" s="1124"/>
      <c r="M3" s="1124"/>
      <c r="N3" s="1125"/>
      <c r="O3" s="489"/>
      <c r="P3" s="187"/>
      <c r="Q3" s="1123">
        <f>Eingabe!L3</f>
        <v>0</v>
      </c>
      <c r="R3" s="1124"/>
      <c r="S3" s="1124"/>
      <c r="T3" s="1124"/>
      <c r="U3" s="1124"/>
      <c r="V3" s="1124"/>
      <c r="W3" s="1124"/>
      <c r="X3" s="1125"/>
      <c r="Y3" s="187"/>
      <c r="Z3" s="1123">
        <f>Eingabe!M3</f>
        <v>0</v>
      </c>
      <c r="AA3" s="1124"/>
      <c r="AB3" s="1124"/>
      <c r="AC3" s="1124"/>
      <c r="AD3" s="1124"/>
      <c r="AE3" s="1124"/>
      <c r="AF3" s="1124"/>
      <c r="AG3" s="1125"/>
    </row>
    <row r="4" spans="1:35" ht="11.25" customHeight="1" x14ac:dyDescent="0.2">
      <c r="A4" s="185"/>
      <c r="B4" s="1143" t="s">
        <v>180</v>
      </c>
      <c r="C4" s="1144"/>
      <c r="D4" s="1145"/>
      <c r="E4" s="1146" t="s">
        <v>99</v>
      </c>
      <c r="F4" s="1147"/>
      <c r="G4" s="1126">
        <f>Eingabe!K4</f>
        <v>0</v>
      </c>
      <c r="H4" s="1127"/>
      <c r="I4" s="1127"/>
      <c r="J4" s="1127"/>
      <c r="K4" s="1127"/>
      <c r="L4" s="1127"/>
      <c r="M4" s="1127"/>
      <c r="N4" s="1128"/>
      <c r="O4" s="489"/>
      <c r="P4" s="187"/>
      <c r="Q4" s="1126">
        <f>Eingabe!L4</f>
        <v>0</v>
      </c>
      <c r="R4" s="1127"/>
      <c r="S4" s="1127"/>
      <c r="T4" s="1127"/>
      <c r="U4" s="1127"/>
      <c r="V4" s="1127"/>
      <c r="W4" s="1127"/>
      <c r="X4" s="1128"/>
      <c r="Y4" s="187"/>
      <c r="Z4" s="1126">
        <f>Eingabe!M4</f>
        <v>0</v>
      </c>
      <c r="AA4" s="1127"/>
      <c r="AB4" s="1127"/>
      <c r="AC4" s="1127"/>
      <c r="AD4" s="1127"/>
      <c r="AE4" s="1127"/>
      <c r="AF4" s="1127"/>
      <c r="AG4" s="1128"/>
    </row>
    <row r="5" spans="1:35" ht="11.25" customHeight="1" x14ac:dyDescent="0.2">
      <c r="A5" s="185"/>
      <c r="B5" s="1138" t="s">
        <v>151</v>
      </c>
      <c r="C5" s="1139"/>
      <c r="D5" s="1140"/>
      <c r="E5" s="1141" t="s">
        <v>99</v>
      </c>
      <c r="F5" s="1142"/>
      <c r="G5" s="1120">
        <f>Eingabe!K5</f>
        <v>0</v>
      </c>
      <c r="H5" s="1121"/>
      <c r="I5" s="1121"/>
      <c r="J5" s="1121"/>
      <c r="K5" s="1121"/>
      <c r="L5" s="1121"/>
      <c r="M5" s="1121"/>
      <c r="N5" s="1122"/>
      <c r="O5" s="489"/>
      <c r="P5" s="187"/>
      <c r="Q5" s="1120">
        <f>Eingabe!L5</f>
        <v>0</v>
      </c>
      <c r="R5" s="1121"/>
      <c r="S5" s="1121"/>
      <c r="T5" s="1121"/>
      <c r="U5" s="1121"/>
      <c r="V5" s="1121"/>
      <c r="W5" s="1121"/>
      <c r="X5" s="1122"/>
      <c r="Y5" s="187"/>
      <c r="Z5" s="1120">
        <f>Eingabe!M5</f>
        <v>0</v>
      </c>
      <c r="AA5" s="1121"/>
      <c r="AB5" s="1121"/>
      <c r="AC5" s="1121"/>
      <c r="AD5" s="1121"/>
      <c r="AE5" s="1121"/>
      <c r="AF5" s="1121"/>
      <c r="AG5" s="1122"/>
    </row>
    <row r="6" spans="1:35" ht="11.25" customHeight="1" x14ac:dyDescent="0.2">
      <c r="A6" s="185"/>
      <c r="B6" s="1129" t="s">
        <v>68</v>
      </c>
      <c r="C6" s="1130"/>
      <c r="D6" s="1131"/>
      <c r="E6" s="1132" t="s">
        <v>99</v>
      </c>
      <c r="F6" s="966"/>
      <c r="G6" s="1108">
        <f>Eingabe!K6</f>
        <v>0</v>
      </c>
      <c r="H6" s="1109"/>
      <c r="I6" s="1109"/>
      <c r="J6" s="1109"/>
      <c r="K6" s="1109"/>
      <c r="L6" s="1109"/>
      <c r="M6" s="1109"/>
      <c r="N6" s="1110"/>
      <c r="O6" s="489"/>
      <c r="P6" s="187"/>
      <c r="Q6" s="1108">
        <f>Eingabe!L6</f>
        <v>0</v>
      </c>
      <c r="R6" s="1109"/>
      <c r="S6" s="1109"/>
      <c r="T6" s="1109"/>
      <c r="U6" s="1109"/>
      <c r="V6" s="1109"/>
      <c r="W6" s="1109"/>
      <c r="X6" s="1110"/>
      <c r="Y6" s="187"/>
      <c r="Z6" s="1108">
        <f>Eingabe!M6</f>
        <v>0</v>
      </c>
      <c r="AA6" s="1109"/>
      <c r="AB6" s="1109"/>
      <c r="AC6" s="1109"/>
      <c r="AD6" s="1109"/>
      <c r="AE6" s="1109"/>
      <c r="AF6" s="1109"/>
      <c r="AG6" s="1110"/>
    </row>
    <row r="7" spans="1:35" ht="11.25" customHeight="1" x14ac:dyDescent="0.2">
      <c r="A7" s="185"/>
      <c r="B7" s="1129" t="s">
        <v>59</v>
      </c>
      <c r="C7" s="1130"/>
      <c r="D7" s="1131"/>
      <c r="E7" s="1132" t="s">
        <v>99</v>
      </c>
      <c r="F7" s="966"/>
      <c r="G7" s="1108">
        <f>Eingabe!K7</f>
        <v>0</v>
      </c>
      <c r="H7" s="1109"/>
      <c r="I7" s="1109"/>
      <c r="J7" s="1109"/>
      <c r="K7" s="1109"/>
      <c r="L7" s="1109"/>
      <c r="M7" s="1109"/>
      <c r="N7" s="1110"/>
      <c r="O7" s="489"/>
      <c r="P7" s="187"/>
      <c r="Q7" s="1108">
        <f>Eingabe!L7</f>
        <v>0</v>
      </c>
      <c r="R7" s="1109"/>
      <c r="S7" s="1109"/>
      <c r="T7" s="1109"/>
      <c r="U7" s="1109"/>
      <c r="V7" s="1109"/>
      <c r="W7" s="1109"/>
      <c r="X7" s="1110"/>
      <c r="Y7" s="187"/>
      <c r="Z7" s="1108">
        <f>Eingabe!M7</f>
        <v>0</v>
      </c>
      <c r="AA7" s="1109"/>
      <c r="AB7" s="1109"/>
      <c r="AC7" s="1109"/>
      <c r="AD7" s="1109"/>
      <c r="AE7" s="1109"/>
      <c r="AF7" s="1109"/>
      <c r="AG7" s="1110"/>
    </row>
    <row r="8" spans="1:35" s="228" customFormat="1" ht="11.25" customHeight="1" x14ac:dyDescent="0.2">
      <c r="A8" s="226"/>
      <c r="B8" s="1129" t="s">
        <v>360</v>
      </c>
      <c r="C8" s="1130"/>
      <c r="D8" s="1131"/>
      <c r="E8" s="1132" t="s">
        <v>99</v>
      </c>
      <c r="F8" s="966"/>
      <c r="G8" s="1108">
        <f>Baukostenkennwerte!D5</f>
        <v>0</v>
      </c>
      <c r="H8" s="1109"/>
      <c r="I8" s="1109"/>
      <c r="J8" s="1109"/>
      <c r="K8" s="1109"/>
      <c r="L8" s="1109"/>
      <c r="M8" s="1109"/>
      <c r="N8" s="1110"/>
      <c r="O8" s="244"/>
      <c r="P8" s="227"/>
      <c r="Q8" s="1108">
        <f>Baukostenkennwerte!D5</f>
        <v>0</v>
      </c>
      <c r="R8" s="1109"/>
      <c r="S8" s="1109"/>
      <c r="T8" s="1109"/>
      <c r="U8" s="1109"/>
      <c r="V8" s="1109"/>
      <c r="W8" s="1109"/>
      <c r="X8" s="1110"/>
      <c r="Y8" s="227"/>
      <c r="Z8" s="1108">
        <f>Baukostenkennwerte!D5</f>
        <v>0</v>
      </c>
      <c r="AA8" s="1109"/>
      <c r="AB8" s="1109"/>
      <c r="AC8" s="1109"/>
      <c r="AD8" s="1109"/>
      <c r="AE8" s="1109"/>
      <c r="AF8" s="1109"/>
      <c r="AG8" s="1110"/>
    </row>
    <row r="9" spans="1:35" ht="11.25" customHeight="1" x14ac:dyDescent="0.2">
      <c r="A9" s="250"/>
      <c r="B9" s="1133" t="s">
        <v>554</v>
      </c>
      <c r="C9" s="1134"/>
      <c r="D9" s="1135"/>
      <c r="E9" s="1136" t="s">
        <v>110</v>
      </c>
      <c r="F9" s="1137"/>
      <c r="G9" s="1111">
        <f>Eingabe!J11</f>
        <v>0</v>
      </c>
      <c r="H9" s="1112"/>
      <c r="I9" s="1112"/>
      <c r="J9" s="1112"/>
      <c r="K9" s="1112"/>
      <c r="L9" s="1112"/>
      <c r="M9" s="1112"/>
      <c r="N9" s="1113"/>
      <c r="O9" s="489"/>
      <c r="P9" s="187"/>
      <c r="Q9" s="1111">
        <f>Eingabe!L11</f>
        <v>0</v>
      </c>
      <c r="R9" s="1112"/>
      <c r="S9" s="1112"/>
      <c r="T9" s="1112"/>
      <c r="U9" s="1112"/>
      <c r="V9" s="1112"/>
      <c r="W9" s="1112"/>
      <c r="X9" s="1113"/>
      <c r="Y9" s="187"/>
      <c r="Z9" s="1111">
        <f>Eingabe!M11</f>
        <v>0</v>
      </c>
      <c r="AA9" s="1112"/>
      <c r="AB9" s="1112"/>
      <c r="AC9" s="1112"/>
      <c r="AD9" s="1112"/>
      <c r="AE9" s="1112"/>
      <c r="AF9" s="1112"/>
      <c r="AG9" s="1113"/>
      <c r="AH9" s="192"/>
      <c r="AI9" s="192" t="s">
        <v>202</v>
      </c>
    </row>
    <row r="10" spans="1:35" x14ac:dyDescent="0.2">
      <c r="A10" s="185"/>
      <c r="B10" s="111" t="s">
        <v>18</v>
      </c>
      <c r="C10" s="102" t="s">
        <v>1</v>
      </c>
      <c r="D10" s="103"/>
      <c r="E10" s="104"/>
      <c r="F10" s="194" t="s">
        <v>2</v>
      </c>
      <c r="G10" s="195" t="s">
        <v>28</v>
      </c>
      <c r="H10" s="193" t="s">
        <v>61</v>
      </c>
      <c r="I10" s="193" t="s">
        <v>61</v>
      </c>
      <c r="J10" s="193" t="s">
        <v>203</v>
      </c>
      <c r="K10" s="193" t="s">
        <v>204</v>
      </c>
      <c r="L10" s="194" t="s">
        <v>205</v>
      </c>
      <c r="M10" s="194" t="s">
        <v>206</v>
      </c>
      <c r="N10" s="245" t="s">
        <v>207</v>
      </c>
      <c r="O10" s="489"/>
      <c r="P10" s="187"/>
      <c r="Q10" s="195" t="s">
        <v>28</v>
      </c>
      <c r="R10" s="193" t="s">
        <v>61</v>
      </c>
      <c r="S10" s="193" t="s">
        <v>61</v>
      </c>
      <c r="T10" s="193" t="s">
        <v>203</v>
      </c>
      <c r="U10" s="193" t="s">
        <v>204</v>
      </c>
      <c r="V10" s="194" t="s">
        <v>205</v>
      </c>
      <c r="W10" s="194" t="s">
        <v>206</v>
      </c>
      <c r="X10" s="245" t="s">
        <v>207</v>
      </c>
      <c r="Y10" s="187"/>
      <c r="Z10" s="195" t="s">
        <v>28</v>
      </c>
      <c r="AA10" s="193" t="s">
        <v>61</v>
      </c>
      <c r="AB10" s="193" t="s">
        <v>61</v>
      </c>
      <c r="AC10" s="193" t="s">
        <v>203</v>
      </c>
      <c r="AD10" s="193" t="s">
        <v>204</v>
      </c>
      <c r="AE10" s="194" t="s">
        <v>205</v>
      </c>
      <c r="AF10" s="194" t="s">
        <v>206</v>
      </c>
      <c r="AG10" s="245" t="s">
        <v>207</v>
      </c>
    </row>
    <row r="11" spans="1:35" x14ac:dyDescent="0.2">
      <c r="A11" s="185"/>
      <c r="B11" s="196"/>
      <c r="C11" s="98"/>
      <c r="D11" s="99"/>
      <c r="E11" s="100"/>
      <c r="F11" s="184"/>
      <c r="G11" s="199"/>
      <c r="H11" s="16"/>
      <c r="I11" s="16"/>
      <c r="J11" s="197">
        <f>Eingabe!K15</f>
        <v>0</v>
      </c>
      <c r="K11" s="197">
        <f>Eingabe!K31</f>
        <v>0</v>
      </c>
      <c r="L11" s="198">
        <f>Eingabe!K35</f>
        <v>0</v>
      </c>
      <c r="M11" s="184">
        <f>Eingabe!K23</f>
        <v>0</v>
      </c>
      <c r="N11" s="246"/>
      <c r="O11" s="489"/>
      <c r="P11" s="187"/>
      <c r="Q11" s="21"/>
      <c r="R11" s="16"/>
      <c r="S11" s="16"/>
      <c r="T11" s="197">
        <f>Eingabe!L15</f>
        <v>0</v>
      </c>
      <c r="U11" s="197">
        <f>Eingabe!L31</f>
        <v>0</v>
      </c>
      <c r="V11" s="198">
        <f>Eingabe!L35</f>
        <v>0</v>
      </c>
      <c r="W11" s="184">
        <f>Eingabe!L23</f>
        <v>0</v>
      </c>
      <c r="X11" s="246"/>
      <c r="Y11" s="187"/>
      <c r="Z11" s="199"/>
      <c r="AA11" s="16"/>
      <c r="AB11" s="16"/>
      <c r="AC11" s="197">
        <f>Eingabe!M15</f>
        <v>0</v>
      </c>
      <c r="AD11" s="197">
        <f>Eingabe!M31</f>
        <v>0</v>
      </c>
      <c r="AE11" s="198">
        <f>Eingabe!M35</f>
        <v>0</v>
      </c>
      <c r="AF11" s="184">
        <f>Eingabe!M23</f>
        <v>0</v>
      </c>
      <c r="AG11" s="246"/>
    </row>
    <row r="12" spans="1:35" x14ac:dyDescent="0.2">
      <c r="A12" s="185"/>
      <c r="B12" s="107">
        <v>1</v>
      </c>
      <c r="C12" s="36" t="s">
        <v>361</v>
      </c>
      <c r="D12" s="45"/>
      <c r="E12" s="6" t="s">
        <v>0</v>
      </c>
      <c r="F12" s="32" t="s">
        <v>19</v>
      </c>
      <c r="G12" s="832">
        <f>Eingabe!K59</f>
        <v>0</v>
      </c>
      <c r="H12" s="833"/>
      <c r="I12" s="834" t="e">
        <f>G12/$G$36</f>
        <v>#DIV/0!</v>
      </c>
      <c r="J12" s="833" t="e">
        <f>G12/$J$11</f>
        <v>#DIV/0!</v>
      </c>
      <c r="K12" s="833" t="e">
        <f>G12/$K$11</f>
        <v>#DIV/0!</v>
      </c>
      <c r="L12" s="833" t="e">
        <f>G12/$L$11</f>
        <v>#DIV/0!</v>
      </c>
      <c r="M12" s="833" t="e">
        <f>G12/$M$11</f>
        <v>#DIV/0!</v>
      </c>
      <c r="N12" s="835"/>
      <c r="O12" s="474"/>
      <c r="P12" s="843"/>
      <c r="Q12" s="832">
        <f>Eingabe!L59</f>
        <v>0</v>
      </c>
      <c r="R12" s="833"/>
      <c r="S12" s="834" t="e">
        <f>Q12/$Q$36</f>
        <v>#DIV/0!</v>
      </c>
      <c r="T12" s="833" t="e">
        <f t="shared" ref="T12:T36" si="0">Q12/$T$11</f>
        <v>#DIV/0!</v>
      </c>
      <c r="U12" s="833" t="e">
        <f>Q12/$U$11</f>
        <v>#DIV/0!</v>
      </c>
      <c r="V12" s="833" t="e">
        <f>Q12/$V$11</f>
        <v>#DIV/0!</v>
      </c>
      <c r="W12" s="833" t="e">
        <f>Q12/$W$11</f>
        <v>#DIV/0!</v>
      </c>
      <c r="X12" s="835"/>
      <c r="Y12" s="843"/>
      <c r="Z12" s="832">
        <f>Eingabe!M59</f>
        <v>0</v>
      </c>
      <c r="AA12" s="833"/>
      <c r="AB12" s="834" t="e">
        <f>Z12/$Z$36</f>
        <v>#DIV/0!</v>
      </c>
      <c r="AC12" s="833" t="e">
        <f>Z12/$AC$11</f>
        <v>#DIV/0!</v>
      </c>
      <c r="AD12" s="833" t="e">
        <f>Z12/$AD$11</f>
        <v>#DIV/0!</v>
      </c>
      <c r="AE12" s="833" t="e">
        <f>Z12/$AE$11</f>
        <v>#DIV/0!</v>
      </c>
      <c r="AF12" s="833" t="e">
        <f>Z12/AF$11</f>
        <v>#DIV/0!</v>
      </c>
      <c r="AG12" s="835"/>
    </row>
    <row r="13" spans="1:35" x14ac:dyDescent="0.2">
      <c r="A13" s="185"/>
      <c r="B13" s="101">
        <v>2</v>
      </c>
      <c r="C13" s="102" t="s">
        <v>21</v>
      </c>
      <c r="D13" s="103"/>
      <c r="E13" s="104" t="s">
        <v>0</v>
      </c>
      <c r="F13" s="516" t="s">
        <v>19</v>
      </c>
      <c r="G13" s="862">
        <f>Eingabe!K61</f>
        <v>0</v>
      </c>
      <c r="H13" s="863" t="e">
        <f>G13/$G$13</f>
        <v>#DIV/0!</v>
      </c>
      <c r="I13" s="863" t="e">
        <f>G13/$G$36</f>
        <v>#DIV/0!</v>
      </c>
      <c r="J13" s="864" t="e">
        <f t="shared" ref="J13:J36" si="1">G13/$J$11</f>
        <v>#DIV/0!</v>
      </c>
      <c r="K13" s="864" t="e">
        <f t="shared" ref="K13:K36" si="2">G13/$K$11</f>
        <v>#DIV/0!</v>
      </c>
      <c r="L13" s="864" t="e">
        <f t="shared" ref="L13:L36" si="3">G13/$L$11</f>
        <v>#DIV/0!</v>
      </c>
      <c r="M13" s="864" t="e">
        <f t="shared" ref="M13:M36" si="4">G13/$M$11</f>
        <v>#DIV/0!</v>
      </c>
      <c r="N13" s="813"/>
      <c r="O13" s="489"/>
      <c r="P13" s="187"/>
      <c r="Q13" s="862">
        <f>Eingabe!L61</f>
        <v>0</v>
      </c>
      <c r="R13" s="863" t="e">
        <f>Q13/$Q$13</f>
        <v>#DIV/0!</v>
      </c>
      <c r="S13" s="863" t="e">
        <f>Q13/$Q$36</f>
        <v>#DIV/0!</v>
      </c>
      <c r="T13" s="864" t="e">
        <f t="shared" si="0"/>
        <v>#DIV/0!</v>
      </c>
      <c r="U13" s="864" t="e">
        <f t="shared" ref="U13:U36" si="5">Q13/$U$11</f>
        <v>#DIV/0!</v>
      </c>
      <c r="V13" s="864" t="e">
        <f t="shared" ref="V13:V36" si="6">Q13/$V$11</f>
        <v>#DIV/0!</v>
      </c>
      <c r="W13" s="864" t="e">
        <f t="shared" ref="W13:W36" si="7">Q13/$W$11</f>
        <v>#DIV/0!</v>
      </c>
      <c r="X13" s="813"/>
      <c r="Y13" s="187"/>
      <c r="Z13" s="862">
        <f>Eingabe!M61</f>
        <v>0</v>
      </c>
      <c r="AA13" s="863" t="e">
        <f>Z13/$Z$13</f>
        <v>#DIV/0!</v>
      </c>
      <c r="AB13" s="863" t="e">
        <f>Z13/$Z$36</f>
        <v>#DIV/0!</v>
      </c>
      <c r="AC13" s="864" t="e">
        <f t="shared" ref="AC13:AC36" si="8">Z13/$AC$11</f>
        <v>#DIV/0!</v>
      </c>
      <c r="AD13" s="864" t="e">
        <f t="shared" ref="AD13:AD36" si="9">Z13/$AD$11</f>
        <v>#DIV/0!</v>
      </c>
      <c r="AE13" s="864" t="e">
        <f t="shared" ref="AE13:AE36" si="10">Z13/$AE$11</f>
        <v>#DIV/0!</v>
      </c>
      <c r="AF13" s="864" t="e">
        <f t="shared" ref="AF13:AF36" si="11">Z13/AF$11</f>
        <v>#DIV/0!</v>
      </c>
      <c r="AG13" s="813"/>
    </row>
    <row r="14" spans="1:35" x14ac:dyDescent="0.2">
      <c r="A14" s="185"/>
      <c r="B14" s="106"/>
      <c r="C14" s="36" t="s">
        <v>100</v>
      </c>
      <c r="D14" s="95"/>
      <c r="E14" s="6" t="s">
        <v>0</v>
      </c>
      <c r="F14" s="32" t="s">
        <v>19</v>
      </c>
      <c r="G14" s="832">
        <f>Eingabe!K62</f>
        <v>0</v>
      </c>
      <c r="H14" s="834" t="e">
        <f>G14/$G$13</f>
        <v>#DIV/0!</v>
      </c>
      <c r="I14" s="834"/>
      <c r="J14" s="833" t="e">
        <f t="shared" si="1"/>
        <v>#DIV/0!</v>
      </c>
      <c r="K14" s="833" t="e">
        <f t="shared" si="2"/>
        <v>#DIV/0!</v>
      </c>
      <c r="L14" s="833" t="e">
        <f t="shared" si="3"/>
        <v>#DIV/0!</v>
      </c>
      <c r="M14" s="833" t="e">
        <f t="shared" si="4"/>
        <v>#DIV/0!</v>
      </c>
      <c r="N14" s="835"/>
      <c r="O14" s="474"/>
      <c r="P14" s="843"/>
      <c r="Q14" s="832">
        <f>Eingabe!L62</f>
        <v>0</v>
      </c>
      <c r="R14" s="834" t="e">
        <f>Q14/$Q$13</f>
        <v>#DIV/0!</v>
      </c>
      <c r="S14" s="834"/>
      <c r="T14" s="833" t="e">
        <f t="shared" si="0"/>
        <v>#DIV/0!</v>
      </c>
      <c r="U14" s="833" t="e">
        <f t="shared" si="5"/>
        <v>#DIV/0!</v>
      </c>
      <c r="V14" s="833" t="e">
        <f t="shared" si="6"/>
        <v>#DIV/0!</v>
      </c>
      <c r="W14" s="833" t="e">
        <f t="shared" si="7"/>
        <v>#DIV/0!</v>
      </c>
      <c r="X14" s="835"/>
      <c r="Y14" s="843"/>
      <c r="Z14" s="832">
        <f>Eingabe!M62</f>
        <v>0</v>
      </c>
      <c r="AA14" s="834" t="e">
        <f>Z14/$Z$13</f>
        <v>#DIV/0!</v>
      </c>
      <c r="AB14" s="834"/>
      <c r="AC14" s="833" t="e">
        <f t="shared" si="8"/>
        <v>#DIV/0!</v>
      </c>
      <c r="AD14" s="833" t="e">
        <f t="shared" si="9"/>
        <v>#DIV/0!</v>
      </c>
      <c r="AE14" s="833" t="e">
        <f t="shared" si="10"/>
        <v>#DIV/0!</v>
      </c>
      <c r="AF14" s="833" t="e">
        <f t="shared" si="11"/>
        <v>#DIV/0!</v>
      </c>
      <c r="AG14" s="835"/>
    </row>
    <row r="15" spans="1:35" x14ac:dyDescent="0.2">
      <c r="A15" s="185"/>
      <c r="B15" s="107"/>
      <c r="C15" s="36" t="s">
        <v>101</v>
      </c>
      <c r="D15" s="95"/>
      <c r="E15" s="6" t="s">
        <v>0</v>
      </c>
      <c r="F15" s="32" t="s">
        <v>19</v>
      </c>
      <c r="G15" s="832">
        <f>Eingabe!K63</f>
        <v>0</v>
      </c>
      <c r="H15" s="834" t="e">
        <f t="shared" ref="H15:H27" si="12">G15/$G$13</f>
        <v>#DIV/0!</v>
      </c>
      <c r="I15" s="834"/>
      <c r="J15" s="833" t="e">
        <f t="shared" si="1"/>
        <v>#DIV/0!</v>
      </c>
      <c r="K15" s="833" t="e">
        <f t="shared" si="2"/>
        <v>#DIV/0!</v>
      </c>
      <c r="L15" s="833" t="e">
        <f t="shared" si="3"/>
        <v>#DIV/0!</v>
      </c>
      <c r="M15" s="833" t="e">
        <f t="shared" si="4"/>
        <v>#DIV/0!</v>
      </c>
      <c r="N15" s="835"/>
      <c r="O15" s="474"/>
      <c r="P15" s="843"/>
      <c r="Q15" s="832">
        <f>Eingabe!L63</f>
        <v>0</v>
      </c>
      <c r="R15" s="834" t="e">
        <f t="shared" ref="R15:R27" si="13">Q15/$Q$13</f>
        <v>#DIV/0!</v>
      </c>
      <c r="S15" s="834"/>
      <c r="T15" s="833" t="e">
        <f t="shared" si="0"/>
        <v>#DIV/0!</v>
      </c>
      <c r="U15" s="833" t="e">
        <f t="shared" si="5"/>
        <v>#DIV/0!</v>
      </c>
      <c r="V15" s="833" t="e">
        <f t="shared" si="6"/>
        <v>#DIV/0!</v>
      </c>
      <c r="W15" s="833" t="e">
        <f t="shared" si="7"/>
        <v>#DIV/0!</v>
      </c>
      <c r="X15" s="835"/>
      <c r="Y15" s="843"/>
      <c r="Z15" s="832">
        <f>Eingabe!M63</f>
        <v>0</v>
      </c>
      <c r="AA15" s="834" t="e">
        <f t="shared" ref="AA15:AA27" si="14">Z15/$Z$13</f>
        <v>#DIV/0!</v>
      </c>
      <c r="AB15" s="834"/>
      <c r="AC15" s="833" t="e">
        <f t="shared" si="8"/>
        <v>#DIV/0!</v>
      </c>
      <c r="AD15" s="833" t="e">
        <f t="shared" si="9"/>
        <v>#DIV/0!</v>
      </c>
      <c r="AE15" s="833" t="e">
        <f t="shared" si="10"/>
        <v>#DIV/0!</v>
      </c>
      <c r="AF15" s="833" t="e">
        <f t="shared" si="11"/>
        <v>#DIV/0!</v>
      </c>
      <c r="AG15" s="835"/>
    </row>
    <row r="16" spans="1:35" x14ac:dyDescent="0.2">
      <c r="A16" s="185"/>
      <c r="B16" s="107"/>
      <c r="C16" s="36" t="s">
        <v>102</v>
      </c>
      <c r="D16" s="95"/>
      <c r="E16" s="6" t="s">
        <v>0</v>
      </c>
      <c r="F16" s="32" t="s">
        <v>19</v>
      </c>
      <c r="G16" s="832">
        <f>Eingabe!K64</f>
        <v>0</v>
      </c>
      <c r="H16" s="834" t="e">
        <f t="shared" si="12"/>
        <v>#DIV/0!</v>
      </c>
      <c r="I16" s="834"/>
      <c r="J16" s="833" t="e">
        <f t="shared" si="1"/>
        <v>#DIV/0!</v>
      </c>
      <c r="K16" s="833" t="e">
        <f t="shared" si="2"/>
        <v>#DIV/0!</v>
      </c>
      <c r="L16" s="833" t="e">
        <f t="shared" si="3"/>
        <v>#DIV/0!</v>
      </c>
      <c r="M16" s="833" t="e">
        <f t="shared" si="4"/>
        <v>#DIV/0!</v>
      </c>
      <c r="N16" s="835"/>
      <c r="O16" s="474"/>
      <c r="P16" s="843"/>
      <c r="Q16" s="832">
        <f>Eingabe!L64</f>
        <v>0</v>
      </c>
      <c r="R16" s="834" t="e">
        <f t="shared" si="13"/>
        <v>#DIV/0!</v>
      </c>
      <c r="S16" s="834"/>
      <c r="T16" s="833" t="e">
        <f t="shared" si="0"/>
        <v>#DIV/0!</v>
      </c>
      <c r="U16" s="833" t="e">
        <f t="shared" si="5"/>
        <v>#DIV/0!</v>
      </c>
      <c r="V16" s="833" t="e">
        <f t="shared" si="6"/>
        <v>#DIV/0!</v>
      </c>
      <c r="W16" s="833" t="e">
        <f t="shared" si="7"/>
        <v>#DIV/0!</v>
      </c>
      <c r="X16" s="835"/>
      <c r="Y16" s="843"/>
      <c r="Z16" s="832">
        <f>Eingabe!M64</f>
        <v>0</v>
      </c>
      <c r="AA16" s="834" t="e">
        <f t="shared" si="14"/>
        <v>#DIV/0!</v>
      </c>
      <c r="AB16" s="834"/>
      <c r="AC16" s="833" t="e">
        <f t="shared" si="8"/>
        <v>#DIV/0!</v>
      </c>
      <c r="AD16" s="833" t="e">
        <f t="shared" si="9"/>
        <v>#DIV/0!</v>
      </c>
      <c r="AE16" s="833" t="e">
        <f t="shared" si="10"/>
        <v>#DIV/0!</v>
      </c>
      <c r="AF16" s="833" t="e">
        <f t="shared" si="11"/>
        <v>#DIV/0!</v>
      </c>
      <c r="AG16" s="835"/>
    </row>
    <row r="17" spans="1:33" x14ac:dyDescent="0.2">
      <c r="A17" s="185"/>
      <c r="B17" s="107"/>
      <c r="C17" s="36" t="s">
        <v>103</v>
      </c>
      <c r="D17" s="95"/>
      <c r="E17" s="6" t="s">
        <v>0</v>
      </c>
      <c r="F17" s="32" t="s">
        <v>19</v>
      </c>
      <c r="G17" s="832">
        <f>Eingabe!K65</f>
        <v>0</v>
      </c>
      <c r="H17" s="834" t="e">
        <f t="shared" si="12"/>
        <v>#DIV/0!</v>
      </c>
      <c r="I17" s="834"/>
      <c r="J17" s="833" t="e">
        <f t="shared" si="1"/>
        <v>#DIV/0!</v>
      </c>
      <c r="K17" s="833" t="e">
        <f t="shared" si="2"/>
        <v>#DIV/0!</v>
      </c>
      <c r="L17" s="833" t="e">
        <f t="shared" si="3"/>
        <v>#DIV/0!</v>
      </c>
      <c r="M17" s="833" t="e">
        <f t="shared" si="4"/>
        <v>#DIV/0!</v>
      </c>
      <c r="N17" s="835"/>
      <c r="O17" s="474"/>
      <c r="P17" s="843"/>
      <c r="Q17" s="832">
        <f>Eingabe!L65</f>
        <v>0</v>
      </c>
      <c r="R17" s="834" t="e">
        <f t="shared" si="13"/>
        <v>#DIV/0!</v>
      </c>
      <c r="S17" s="834"/>
      <c r="T17" s="833" t="e">
        <f t="shared" si="0"/>
        <v>#DIV/0!</v>
      </c>
      <c r="U17" s="833" t="e">
        <f t="shared" si="5"/>
        <v>#DIV/0!</v>
      </c>
      <c r="V17" s="833" t="e">
        <f t="shared" si="6"/>
        <v>#DIV/0!</v>
      </c>
      <c r="W17" s="833" t="e">
        <f t="shared" si="7"/>
        <v>#DIV/0!</v>
      </c>
      <c r="X17" s="835"/>
      <c r="Y17" s="843"/>
      <c r="Z17" s="832">
        <f>Eingabe!M65</f>
        <v>0</v>
      </c>
      <c r="AA17" s="834" t="e">
        <f t="shared" si="14"/>
        <v>#DIV/0!</v>
      </c>
      <c r="AB17" s="834"/>
      <c r="AC17" s="833" t="e">
        <f t="shared" si="8"/>
        <v>#DIV/0!</v>
      </c>
      <c r="AD17" s="833" t="e">
        <f t="shared" si="9"/>
        <v>#DIV/0!</v>
      </c>
      <c r="AE17" s="833" t="e">
        <f t="shared" si="10"/>
        <v>#DIV/0!</v>
      </c>
      <c r="AF17" s="833" t="e">
        <f t="shared" si="11"/>
        <v>#DIV/0!</v>
      </c>
      <c r="AG17" s="835"/>
    </row>
    <row r="18" spans="1:33" x14ac:dyDescent="0.2">
      <c r="A18" s="185"/>
      <c r="B18" s="107"/>
      <c r="C18" s="36" t="s">
        <v>370</v>
      </c>
      <c r="D18" s="95"/>
      <c r="E18" s="6" t="s">
        <v>0</v>
      </c>
      <c r="F18" s="32" t="s">
        <v>19</v>
      </c>
      <c r="G18" s="832">
        <f>Eingabe!K66</f>
        <v>0</v>
      </c>
      <c r="H18" s="834" t="e">
        <f t="shared" si="12"/>
        <v>#DIV/0!</v>
      </c>
      <c r="I18" s="834"/>
      <c r="J18" s="833" t="e">
        <f t="shared" si="1"/>
        <v>#DIV/0!</v>
      </c>
      <c r="K18" s="833" t="e">
        <f t="shared" si="2"/>
        <v>#DIV/0!</v>
      </c>
      <c r="L18" s="833" t="e">
        <f t="shared" si="3"/>
        <v>#DIV/0!</v>
      </c>
      <c r="M18" s="833" t="e">
        <f t="shared" si="4"/>
        <v>#DIV/0!</v>
      </c>
      <c r="N18" s="835" t="e">
        <f>G18/Eingabe!K54</f>
        <v>#DIV/0!</v>
      </c>
      <c r="O18" s="474"/>
      <c r="P18" s="843"/>
      <c r="Q18" s="832">
        <f>Eingabe!L66</f>
        <v>0</v>
      </c>
      <c r="R18" s="834" t="e">
        <f t="shared" si="13"/>
        <v>#DIV/0!</v>
      </c>
      <c r="S18" s="834"/>
      <c r="T18" s="833" t="e">
        <f t="shared" si="0"/>
        <v>#DIV/0!</v>
      </c>
      <c r="U18" s="833" t="e">
        <f t="shared" si="5"/>
        <v>#DIV/0!</v>
      </c>
      <c r="V18" s="833" t="e">
        <f t="shared" si="6"/>
        <v>#DIV/0!</v>
      </c>
      <c r="W18" s="833" t="e">
        <f t="shared" si="7"/>
        <v>#DIV/0!</v>
      </c>
      <c r="X18" s="835" t="e">
        <f>Q18/Eingabe!L54</f>
        <v>#DIV/0!</v>
      </c>
      <c r="Y18" s="843"/>
      <c r="Z18" s="832">
        <f>Eingabe!M66</f>
        <v>0</v>
      </c>
      <c r="AA18" s="834" t="e">
        <f t="shared" si="14"/>
        <v>#DIV/0!</v>
      </c>
      <c r="AB18" s="834"/>
      <c r="AC18" s="833" t="e">
        <f t="shared" si="8"/>
        <v>#DIV/0!</v>
      </c>
      <c r="AD18" s="833" t="e">
        <f t="shared" si="9"/>
        <v>#DIV/0!</v>
      </c>
      <c r="AE18" s="833" t="e">
        <f t="shared" si="10"/>
        <v>#DIV/0!</v>
      </c>
      <c r="AF18" s="833" t="e">
        <f t="shared" si="11"/>
        <v>#DIV/0!</v>
      </c>
      <c r="AG18" s="835" t="e">
        <f>Z18/Eingabe!M54</f>
        <v>#DIV/0!</v>
      </c>
    </row>
    <row r="19" spans="1:33" x14ac:dyDescent="0.2">
      <c r="A19" s="185"/>
      <c r="B19" s="107"/>
      <c r="C19" s="36" t="s">
        <v>569</v>
      </c>
      <c r="D19" s="95"/>
      <c r="E19" s="6"/>
      <c r="F19" s="32" t="s">
        <v>19</v>
      </c>
      <c r="G19" s="832">
        <f>Eingabe!K67</f>
        <v>0</v>
      </c>
      <c r="H19" s="834" t="e">
        <f t="shared" si="12"/>
        <v>#DIV/0!</v>
      </c>
      <c r="I19" s="834"/>
      <c r="J19" s="833" t="e">
        <f t="shared" si="1"/>
        <v>#DIV/0!</v>
      </c>
      <c r="K19" s="833" t="e">
        <f t="shared" si="2"/>
        <v>#DIV/0!</v>
      </c>
      <c r="L19" s="833" t="e">
        <f t="shared" si="3"/>
        <v>#DIV/0!</v>
      </c>
      <c r="M19" s="833" t="e">
        <f t="shared" si="4"/>
        <v>#DIV/0!</v>
      </c>
      <c r="N19" s="835" t="e">
        <f>G19/Eingabe!K51</f>
        <v>#DIV/0!</v>
      </c>
      <c r="O19" s="474"/>
      <c r="P19" s="843"/>
      <c r="Q19" s="832">
        <f>Eingabe!L67</f>
        <v>0</v>
      </c>
      <c r="R19" s="834" t="e">
        <f t="shared" si="13"/>
        <v>#DIV/0!</v>
      </c>
      <c r="S19" s="834"/>
      <c r="T19" s="833" t="e">
        <f t="shared" si="0"/>
        <v>#DIV/0!</v>
      </c>
      <c r="U19" s="833" t="e">
        <f t="shared" si="5"/>
        <v>#DIV/0!</v>
      </c>
      <c r="V19" s="833" t="e">
        <f t="shared" si="6"/>
        <v>#DIV/0!</v>
      </c>
      <c r="W19" s="833" t="e">
        <f t="shared" si="7"/>
        <v>#DIV/0!</v>
      </c>
      <c r="X19" s="835" t="e">
        <f>Q19/Eingabe!L51</f>
        <v>#DIV/0!</v>
      </c>
      <c r="Y19" s="843"/>
      <c r="Z19" s="832">
        <f>Eingabe!M67</f>
        <v>0</v>
      </c>
      <c r="AA19" s="834" t="e">
        <f t="shared" si="14"/>
        <v>#DIV/0!</v>
      </c>
      <c r="AB19" s="834"/>
      <c r="AC19" s="833" t="e">
        <f t="shared" si="8"/>
        <v>#DIV/0!</v>
      </c>
      <c r="AD19" s="833" t="e">
        <f t="shared" si="9"/>
        <v>#DIV/0!</v>
      </c>
      <c r="AE19" s="833" t="e">
        <f t="shared" si="10"/>
        <v>#DIV/0!</v>
      </c>
      <c r="AF19" s="833" t="e">
        <f t="shared" si="11"/>
        <v>#DIV/0!</v>
      </c>
      <c r="AG19" s="835" t="e">
        <f>Z19/Eingabe!M51</f>
        <v>#DIV/0!</v>
      </c>
    </row>
    <row r="20" spans="1:33" x14ac:dyDescent="0.2">
      <c r="A20" s="185"/>
      <c r="B20" s="107"/>
      <c r="C20" s="36" t="s">
        <v>187</v>
      </c>
      <c r="D20" s="95"/>
      <c r="E20" s="6"/>
      <c r="F20" s="32" t="s">
        <v>19</v>
      </c>
      <c r="G20" s="832">
        <f>Eingabe!K68</f>
        <v>0</v>
      </c>
      <c r="H20" s="834" t="e">
        <f t="shared" si="12"/>
        <v>#DIV/0!</v>
      </c>
      <c r="I20" s="834"/>
      <c r="J20" s="833" t="e">
        <f t="shared" si="1"/>
        <v>#DIV/0!</v>
      </c>
      <c r="K20" s="833" t="e">
        <f t="shared" si="2"/>
        <v>#DIV/0!</v>
      </c>
      <c r="L20" s="833" t="e">
        <f t="shared" si="3"/>
        <v>#DIV/0!</v>
      </c>
      <c r="M20" s="833" t="e">
        <f t="shared" si="4"/>
        <v>#DIV/0!</v>
      </c>
      <c r="N20" s="835" t="e">
        <f>G20/Eingabe!K53</f>
        <v>#DIV/0!</v>
      </c>
      <c r="O20" s="474"/>
      <c r="P20" s="843"/>
      <c r="Q20" s="832">
        <f>Eingabe!L68</f>
        <v>0</v>
      </c>
      <c r="R20" s="834" t="e">
        <f t="shared" si="13"/>
        <v>#DIV/0!</v>
      </c>
      <c r="S20" s="834"/>
      <c r="T20" s="833" t="e">
        <f t="shared" si="0"/>
        <v>#DIV/0!</v>
      </c>
      <c r="U20" s="833" t="e">
        <f t="shared" si="5"/>
        <v>#DIV/0!</v>
      </c>
      <c r="V20" s="833" t="e">
        <f t="shared" si="6"/>
        <v>#DIV/0!</v>
      </c>
      <c r="W20" s="833" t="e">
        <f t="shared" si="7"/>
        <v>#DIV/0!</v>
      </c>
      <c r="X20" s="835" t="e">
        <f>Q20/Eingabe!L53</f>
        <v>#DIV/0!</v>
      </c>
      <c r="Y20" s="843"/>
      <c r="Z20" s="832">
        <f>Eingabe!M68</f>
        <v>0</v>
      </c>
      <c r="AA20" s="834" t="e">
        <f t="shared" si="14"/>
        <v>#DIV/0!</v>
      </c>
      <c r="AB20" s="834"/>
      <c r="AC20" s="833" t="e">
        <f t="shared" si="8"/>
        <v>#DIV/0!</v>
      </c>
      <c r="AD20" s="833" t="e">
        <f t="shared" si="9"/>
        <v>#DIV/0!</v>
      </c>
      <c r="AE20" s="833" t="e">
        <f t="shared" si="10"/>
        <v>#DIV/0!</v>
      </c>
      <c r="AF20" s="833" t="e">
        <f t="shared" si="11"/>
        <v>#DIV/0!</v>
      </c>
      <c r="AG20" s="835" t="e">
        <f>Z20/Eingabe!M53</f>
        <v>#DIV/0!</v>
      </c>
    </row>
    <row r="21" spans="1:33" x14ac:dyDescent="0.2">
      <c r="A21" s="185"/>
      <c r="B21" s="107"/>
      <c r="C21" s="36" t="s">
        <v>188</v>
      </c>
      <c r="D21" s="95"/>
      <c r="E21" s="6" t="s">
        <v>0</v>
      </c>
      <c r="F21" s="32" t="s">
        <v>19</v>
      </c>
      <c r="G21" s="832">
        <f>Eingabe!K69</f>
        <v>0</v>
      </c>
      <c r="H21" s="834" t="e">
        <f t="shared" si="12"/>
        <v>#DIV/0!</v>
      </c>
      <c r="I21" s="834"/>
      <c r="J21" s="833" t="e">
        <f t="shared" si="1"/>
        <v>#DIV/0!</v>
      </c>
      <c r="K21" s="833" t="e">
        <f t="shared" si="2"/>
        <v>#DIV/0!</v>
      </c>
      <c r="L21" s="833" t="e">
        <f t="shared" si="3"/>
        <v>#DIV/0!</v>
      </c>
      <c r="M21" s="833" t="e">
        <f t="shared" si="4"/>
        <v>#DIV/0!</v>
      </c>
      <c r="N21" s="835" t="e">
        <f>G21/Eingabe!K52</f>
        <v>#DIV/0!</v>
      </c>
      <c r="O21" s="474"/>
      <c r="P21" s="843"/>
      <c r="Q21" s="832">
        <f>Eingabe!L69</f>
        <v>0</v>
      </c>
      <c r="R21" s="834" t="e">
        <f t="shared" si="13"/>
        <v>#DIV/0!</v>
      </c>
      <c r="S21" s="834"/>
      <c r="T21" s="833" t="e">
        <f t="shared" si="0"/>
        <v>#DIV/0!</v>
      </c>
      <c r="U21" s="833" t="e">
        <f t="shared" si="5"/>
        <v>#DIV/0!</v>
      </c>
      <c r="V21" s="833" t="e">
        <f t="shared" si="6"/>
        <v>#DIV/0!</v>
      </c>
      <c r="W21" s="833" t="e">
        <f t="shared" si="7"/>
        <v>#DIV/0!</v>
      </c>
      <c r="X21" s="835" t="e">
        <f>Q21/Eingabe!L52</f>
        <v>#DIV/0!</v>
      </c>
      <c r="Y21" s="843"/>
      <c r="Z21" s="832">
        <f>Eingabe!M69</f>
        <v>0</v>
      </c>
      <c r="AA21" s="834" t="e">
        <f t="shared" si="14"/>
        <v>#DIV/0!</v>
      </c>
      <c r="AB21" s="834"/>
      <c r="AC21" s="833" t="e">
        <f t="shared" si="8"/>
        <v>#DIV/0!</v>
      </c>
      <c r="AD21" s="833" t="e">
        <f t="shared" si="9"/>
        <v>#DIV/0!</v>
      </c>
      <c r="AE21" s="833" t="e">
        <f t="shared" si="10"/>
        <v>#DIV/0!</v>
      </c>
      <c r="AF21" s="833" t="e">
        <f t="shared" si="11"/>
        <v>#DIV/0!</v>
      </c>
      <c r="AG21" s="835" t="e">
        <f>Z21/Eingabe!M52</f>
        <v>#DIV/0!</v>
      </c>
    </row>
    <row r="22" spans="1:33" x14ac:dyDescent="0.2">
      <c r="A22" s="185"/>
      <c r="B22" s="107"/>
      <c r="C22" s="36" t="s">
        <v>410</v>
      </c>
      <c r="D22" s="95"/>
      <c r="E22" s="6"/>
      <c r="F22" s="32" t="s">
        <v>19</v>
      </c>
      <c r="G22" s="832">
        <f>Eingabe!K70</f>
        <v>0</v>
      </c>
      <c r="H22" s="834" t="e">
        <f>G22/$G$13</f>
        <v>#DIV/0!</v>
      </c>
      <c r="I22" s="834"/>
      <c r="J22" s="833" t="e">
        <f>G22/$J$11</f>
        <v>#DIV/0!</v>
      </c>
      <c r="K22" s="833" t="e">
        <f>G22/$K$11</f>
        <v>#DIV/0!</v>
      </c>
      <c r="L22" s="833" t="e">
        <f>G22/$L$11</f>
        <v>#DIV/0!</v>
      </c>
      <c r="M22" s="833" t="e">
        <f>G22/$M$11</f>
        <v>#DIV/0!</v>
      </c>
      <c r="N22" s="835" t="e">
        <f>G22/Eingabe!K55</f>
        <v>#DIV/0!</v>
      </c>
      <c r="O22" s="474"/>
      <c r="P22" s="843"/>
      <c r="Q22" s="832">
        <f>Eingabe!L70</f>
        <v>0</v>
      </c>
      <c r="R22" s="834" t="e">
        <f>Q22/$Q$13</f>
        <v>#DIV/0!</v>
      </c>
      <c r="S22" s="834"/>
      <c r="T22" s="833" t="e">
        <f>Q22/$T$11</f>
        <v>#DIV/0!</v>
      </c>
      <c r="U22" s="833" t="e">
        <f>Q22/$U$11</f>
        <v>#DIV/0!</v>
      </c>
      <c r="V22" s="833" t="e">
        <f>Q22/$V$11</f>
        <v>#DIV/0!</v>
      </c>
      <c r="W22" s="833" t="e">
        <f>Q22/$W$11</f>
        <v>#DIV/0!</v>
      </c>
      <c r="X22" s="835" t="e">
        <f>Q22/Eingabe!L55</f>
        <v>#DIV/0!</v>
      </c>
      <c r="Y22" s="843"/>
      <c r="Z22" s="832">
        <f>Eingabe!M70</f>
        <v>0</v>
      </c>
      <c r="AA22" s="834" t="e">
        <f>Z22/$Z$13</f>
        <v>#DIV/0!</v>
      </c>
      <c r="AB22" s="834"/>
      <c r="AC22" s="833" t="e">
        <f>Z22/$AC$11</f>
        <v>#DIV/0!</v>
      </c>
      <c r="AD22" s="833" t="e">
        <f>Z22/$AD$11</f>
        <v>#DIV/0!</v>
      </c>
      <c r="AE22" s="833" t="e">
        <f>Z22/$AE$11</f>
        <v>#DIV/0!</v>
      </c>
      <c r="AF22" s="833" t="e">
        <f>Z22/AF$11</f>
        <v>#DIV/0!</v>
      </c>
      <c r="AG22" s="835" t="e">
        <f>Z22/Eingabe!M55</f>
        <v>#DIV/0!</v>
      </c>
    </row>
    <row r="23" spans="1:33" x14ac:dyDescent="0.2">
      <c r="A23" s="185"/>
      <c r="B23" s="107"/>
      <c r="C23" s="36" t="s">
        <v>189</v>
      </c>
      <c r="D23" s="95"/>
      <c r="E23" s="6"/>
      <c r="F23" s="32" t="s">
        <v>19</v>
      </c>
      <c r="G23" s="832">
        <f>Eingabe!K71</f>
        <v>0</v>
      </c>
      <c r="H23" s="834" t="e">
        <f t="shared" si="12"/>
        <v>#DIV/0!</v>
      </c>
      <c r="I23" s="834"/>
      <c r="J23" s="833" t="e">
        <f t="shared" si="1"/>
        <v>#DIV/0!</v>
      </c>
      <c r="K23" s="833" t="e">
        <f t="shared" si="2"/>
        <v>#DIV/0!</v>
      </c>
      <c r="L23" s="833" t="e">
        <f t="shared" si="3"/>
        <v>#DIV/0!</v>
      </c>
      <c r="M23" s="833" t="e">
        <f t="shared" si="4"/>
        <v>#DIV/0!</v>
      </c>
      <c r="N23" s="835"/>
      <c r="O23" s="474"/>
      <c r="P23" s="843"/>
      <c r="Q23" s="832">
        <f>Eingabe!L71</f>
        <v>0</v>
      </c>
      <c r="R23" s="834" t="e">
        <f t="shared" si="13"/>
        <v>#DIV/0!</v>
      </c>
      <c r="S23" s="834"/>
      <c r="T23" s="833" t="e">
        <f t="shared" si="0"/>
        <v>#DIV/0!</v>
      </c>
      <c r="U23" s="833" t="e">
        <f t="shared" si="5"/>
        <v>#DIV/0!</v>
      </c>
      <c r="V23" s="833" t="e">
        <f t="shared" si="6"/>
        <v>#DIV/0!</v>
      </c>
      <c r="W23" s="833" t="e">
        <f t="shared" si="7"/>
        <v>#DIV/0!</v>
      </c>
      <c r="X23" s="835"/>
      <c r="Y23" s="843"/>
      <c r="Z23" s="832">
        <f>Eingabe!M71</f>
        <v>0</v>
      </c>
      <c r="AA23" s="834" t="e">
        <f t="shared" si="14"/>
        <v>#DIV/0!</v>
      </c>
      <c r="AB23" s="834"/>
      <c r="AC23" s="833" t="e">
        <f t="shared" si="8"/>
        <v>#DIV/0!</v>
      </c>
      <c r="AD23" s="833" t="e">
        <f t="shared" si="9"/>
        <v>#DIV/0!</v>
      </c>
      <c r="AE23" s="833" t="e">
        <f t="shared" si="10"/>
        <v>#DIV/0!</v>
      </c>
      <c r="AF23" s="833" t="e">
        <f t="shared" si="11"/>
        <v>#DIV/0!</v>
      </c>
      <c r="AG23" s="835"/>
    </row>
    <row r="24" spans="1:33" x14ac:dyDescent="0.2">
      <c r="A24" s="185"/>
      <c r="B24" s="106"/>
      <c r="C24" s="36" t="s">
        <v>104</v>
      </c>
      <c r="D24" s="95"/>
      <c r="E24" s="6" t="s">
        <v>0</v>
      </c>
      <c r="F24" s="32" t="s">
        <v>19</v>
      </c>
      <c r="G24" s="832">
        <f>Eingabe!K72</f>
        <v>0</v>
      </c>
      <c r="H24" s="834" t="e">
        <f t="shared" si="12"/>
        <v>#DIV/0!</v>
      </c>
      <c r="I24" s="834"/>
      <c r="J24" s="833" t="e">
        <f t="shared" si="1"/>
        <v>#DIV/0!</v>
      </c>
      <c r="K24" s="833" t="e">
        <f t="shared" si="2"/>
        <v>#DIV/0!</v>
      </c>
      <c r="L24" s="833" t="e">
        <f t="shared" si="3"/>
        <v>#DIV/0!</v>
      </c>
      <c r="M24" s="833" t="e">
        <f t="shared" si="4"/>
        <v>#DIV/0!</v>
      </c>
      <c r="N24" s="835"/>
      <c r="O24" s="474"/>
      <c r="P24" s="843"/>
      <c r="Q24" s="832">
        <f>Eingabe!L72</f>
        <v>0</v>
      </c>
      <c r="R24" s="834" t="e">
        <f t="shared" si="13"/>
        <v>#DIV/0!</v>
      </c>
      <c r="S24" s="834"/>
      <c r="T24" s="833" t="e">
        <f t="shared" si="0"/>
        <v>#DIV/0!</v>
      </c>
      <c r="U24" s="833" t="e">
        <f t="shared" si="5"/>
        <v>#DIV/0!</v>
      </c>
      <c r="V24" s="833" t="e">
        <f t="shared" si="6"/>
        <v>#DIV/0!</v>
      </c>
      <c r="W24" s="833" t="e">
        <f t="shared" si="7"/>
        <v>#DIV/0!</v>
      </c>
      <c r="X24" s="835"/>
      <c r="Y24" s="843"/>
      <c r="Z24" s="832">
        <f>Eingabe!M72</f>
        <v>0</v>
      </c>
      <c r="AA24" s="834" t="e">
        <f t="shared" si="14"/>
        <v>#DIV/0!</v>
      </c>
      <c r="AB24" s="834"/>
      <c r="AC24" s="833" t="e">
        <f t="shared" si="8"/>
        <v>#DIV/0!</v>
      </c>
      <c r="AD24" s="833" t="e">
        <f t="shared" si="9"/>
        <v>#DIV/0!</v>
      </c>
      <c r="AE24" s="833" t="e">
        <f t="shared" si="10"/>
        <v>#DIV/0!</v>
      </c>
      <c r="AF24" s="833" t="e">
        <f t="shared" si="11"/>
        <v>#DIV/0!</v>
      </c>
      <c r="AG24" s="835"/>
    </row>
    <row r="25" spans="1:33" x14ac:dyDescent="0.2">
      <c r="A25" s="185"/>
      <c r="B25" s="106"/>
      <c r="C25" s="36" t="s">
        <v>105</v>
      </c>
      <c r="D25" s="95"/>
      <c r="E25" s="6" t="s">
        <v>0</v>
      </c>
      <c r="F25" s="32" t="s">
        <v>19</v>
      </c>
      <c r="G25" s="832">
        <f>Eingabe!K73</f>
        <v>0</v>
      </c>
      <c r="H25" s="834" t="e">
        <f t="shared" si="12"/>
        <v>#DIV/0!</v>
      </c>
      <c r="I25" s="834"/>
      <c r="J25" s="833" t="e">
        <f t="shared" si="1"/>
        <v>#DIV/0!</v>
      </c>
      <c r="K25" s="833" t="e">
        <f t="shared" si="2"/>
        <v>#DIV/0!</v>
      </c>
      <c r="L25" s="833" t="e">
        <f t="shared" si="3"/>
        <v>#DIV/0!</v>
      </c>
      <c r="M25" s="833" t="e">
        <f t="shared" si="4"/>
        <v>#DIV/0!</v>
      </c>
      <c r="N25" s="835"/>
      <c r="O25" s="474"/>
      <c r="P25" s="843"/>
      <c r="Q25" s="832">
        <f>Eingabe!L73</f>
        <v>0</v>
      </c>
      <c r="R25" s="834" t="e">
        <f t="shared" si="13"/>
        <v>#DIV/0!</v>
      </c>
      <c r="S25" s="834"/>
      <c r="T25" s="833" t="e">
        <f t="shared" si="0"/>
        <v>#DIV/0!</v>
      </c>
      <c r="U25" s="833" t="e">
        <f t="shared" si="5"/>
        <v>#DIV/0!</v>
      </c>
      <c r="V25" s="833" t="e">
        <f t="shared" si="6"/>
        <v>#DIV/0!</v>
      </c>
      <c r="W25" s="833" t="e">
        <f t="shared" si="7"/>
        <v>#DIV/0!</v>
      </c>
      <c r="X25" s="835"/>
      <c r="Y25" s="843"/>
      <c r="Z25" s="832">
        <f>Eingabe!M73</f>
        <v>0</v>
      </c>
      <c r="AA25" s="834" t="e">
        <f t="shared" si="14"/>
        <v>#DIV/0!</v>
      </c>
      <c r="AB25" s="834"/>
      <c r="AC25" s="833" t="e">
        <f t="shared" si="8"/>
        <v>#DIV/0!</v>
      </c>
      <c r="AD25" s="833" t="e">
        <f t="shared" si="9"/>
        <v>#DIV/0!</v>
      </c>
      <c r="AE25" s="833" t="e">
        <f t="shared" si="10"/>
        <v>#DIV/0!</v>
      </c>
      <c r="AF25" s="833" t="e">
        <f t="shared" si="11"/>
        <v>#DIV/0!</v>
      </c>
      <c r="AG25" s="835"/>
    </row>
    <row r="26" spans="1:33" x14ac:dyDescent="0.2">
      <c r="A26" s="185"/>
      <c r="B26" s="107"/>
      <c r="C26" s="36" t="s">
        <v>106</v>
      </c>
      <c r="D26" s="95"/>
      <c r="E26" s="6" t="s">
        <v>0</v>
      </c>
      <c r="F26" s="32" t="s">
        <v>19</v>
      </c>
      <c r="G26" s="832">
        <f>Eingabe!K74</f>
        <v>0</v>
      </c>
      <c r="H26" s="834" t="e">
        <f t="shared" si="12"/>
        <v>#DIV/0!</v>
      </c>
      <c r="I26" s="834"/>
      <c r="J26" s="833" t="e">
        <f t="shared" si="1"/>
        <v>#DIV/0!</v>
      </c>
      <c r="K26" s="833" t="e">
        <f t="shared" si="2"/>
        <v>#DIV/0!</v>
      </c>
      <c r="L26" s="833" t="e">
        <f t="shared" si="3"/>
        <v>#DIV/0!</v>
      </c>
      <c r="M26" s="833" t="e">
        <f t="shared" si="4"/>
        <v>#DIV/0!</v>
      </c>
      <c r="N26" s="835"/>
      <c r="O26" s="474"/>
      <c r="P26" s="843"/>
      <c r="Q26" s="832">
        <f>Eingabe!L74</f>
        <v>0</v>
      </c>
      <c r="R26" s="834" t="e">
        <f t="shared" si="13"/>
        <v>#DIV/0!</v>
      </c>
      <c r="S26" s="834"/>
      <c r="T26" s="833" t="e">
        <f t="shared" si="0"/>
        <v>#DIV/0!</v>
      </c>
      <c r="U26" s="833" t="e">
        <f t="shared" si="5"/>
        <v>#DIV/0!</v>
      </c>
      <c r="V26" s="833" t="e">
        <f t="shared" si="6"/>
        <v>#DIV/0!</v>
      </c>
      <c r="W26" s="833" t="e">
        <f t="shared" si="7"/>
        <v>#DIV/0!</v>
      </c>
      <c r="X26" s="835"/>
      <c r="Y26" s="843"/>
      <c r="Z26" s="832">
        <f>Eingabe!M74</f>
        <v>0</v>
      </c>
      <c r="AA26" s="834" t="e">
        <f t="shared" si="14"/>
        <v>#DIV/0!</v>
      </c>
      <c r="AB26" s="834"/>
      <c r="AC26" s="833" t="e">
        <f t="shared" si="8"/>
        <v>#DIV/0!</v>
      </c>
      <c r="AD26" s="833" t="e">
        <f t="shared" si="9"/>
        <v>#DIV/0!</v>
      </c>
      <c r="AE26" s="833" t="e">
        <f t="shared" si="10"/>
        <v>#DIV/0!</v>
      </c>
      <c r="AF26" s="833" t="e">
        <f t="shared" si="11"/>
        <v>#DIV/0!</v>
      </c>
      <c r="AG26" s="835"/>
    </row>
    <row r="27" spans="1:33" x14ac:dyDescent="0.2">
      <c r="A27" s="185"/>
      <c r="B27" s="108"/>
      <c r="C27" s="109" t="s">
        <v>107</v>
      </c>
      <c r="D27" s="110"/>
      <c r="E27" s="120" t="s">
        <v>0</v>
      </c>
      <c r="F27" s="90" t="s">
        <v>19</v>
      </c>
      <c r="G27" s="836">
        <f>Eingabe!K75</f>
        <v>0</v>
      </c>
      <c r="H27" s="837" t="e">
        <f t="shared" si="12"/>
        <v>#DIV/0!</v>
      </c>
      <c r="I27" s="837"/>
      <c r="J27" s="838" t="e">
        <f t="shared" si="1"/>
        <v>#DIV/0!</v>
      </c>
      <c r="K27" s="838" t="e">
        <f t="shared" si="2"/>
        <v>#DIV/0!</v>
      </c>
      <c r="L27" s="838" t="e">
        <f t="shared" si="3"/>
        <v>#DIV/0!</v>
      </c>
      <c r="M27" s="838" t="e">
        <f t="shared" si="4"/>
        <v>#DIV/0!</v>
      </c>
      <c r="N27" s="839"/>
      <c r="O27" s="474"/>
      <c r="P27" s="843"/>
      <c r="Q27" s="836">
        <f>Eingabe!L75</f>
        <v>0</v>
      </c>
      <c r="R27" s="837" t="e">
        <f t="shared" si="13"/>
        <v>#DIV/0!</v>
      </c>
      <c r="S27" s="837"/>
      <c r="T27" s="838" t="e">
        <f t="shared" si="0"/>
        <v>#DIV/0!</v>
      </c>
      <c r="U27" s="838" t="e">
        <f t="shared" si="5"/>
        <v>#DIV/0!</v>
      </c>
      <c r="V27" s="838" t="e">
        <f t="shared" si="6"/>
        <v>#DIV/0!</v>
      </c>
      <c r="W27" s="838" t="e">
        <f t="shared" si="7"/>
        <v>#DIV/0!</v>
      </c>
      <c r="X27" s="839"/>
      <c r="Y27" s="843"/>
      <c r="Z27" s="836">
        <f>Eingabe!M75</f>
        <v>0</v>
      </c>
      <c r="AA27" s="837" t="e">
        <f t="shared" si="14"/>
        <v>#DIV/0!</v>
      </c>
      <c r="AB27" s="837"/>
      <c r="AC27" s="838" t="e">
        <f t="shared" si="8"/>
        <v>#DIV/0!</v>
      </c>
      <c r="AD27" s="838" t="e">
        <f t="shared" si="9"/>
        <v>#DIV/0!</v>
      </c>
      <c r="AE27" s="838" t="e">
        <f t="shared" si="10"/>
        <v>#DIV/0!</v>
      </c>
      <c r="AF27" s="838" t="e">
        <f t="shared" si="11"/>
        <v>#DIV/0!</v>
      </c>
      <c r="AG27" s="839"/>
    </row>
    <row r="28" spans="1:33" x14ac:dyDescent="0.2">
      <c r="A28" s="185"/>
      <c r="B28" s="113">
        <v>3</v>
      </c>
      <c r="C28" s="98" t="s">
        <v>22</v>
      </c>
      <c r="D28" s="99"/>
      <c r="E28" s="100" t="s">
        <v>0</v>
      </c>
      <c r="F28" s="184" t="s">
        <v>19</v>
      </c>
      <c r="G28" s="832">
        <f>Eingabe!K76</f>
        <v>0</v>
      </c>
      <c r="H28" s="840"/>
      <c r="I28" s="841" t="e">
        <f t="shared" ref="I28:I36" si="15">G28/$G$36</f>
        <v>#DIV/0!</v>
      </c>
      <c r="J28" s="840" t="e">
        <f t="shared" si="1"/>
        <v>#DIV/0!</v>
      </c>
      <c r="K28" s="840" t="e">
        <f t="shared" si="2"/>
        <v>#DIV/0!</v>
      </c>
      <c r="L28" s="840" t="e">
        <f t="shared" si="3"/>
        <v>#DIV/0!</v>
      </c>
      <c r="M28" s="840" t="e">
        <f t="shared" si="4"/>
        <v>#DIV/0!</v>
      </c>
      <c r="N28" s="842"/>
      <c r="O28" s="474"/>
      <c r="P28" s="843"/>
      <c r="Q28" s="844">
        <f>Eingabe!L76</f>
        <v>0</v>
      </c>
      <c r="R28" s="840"/>
      <c r="S28" s="841" t="e">
        <f t="shared" ref="S28:S36" si="16">Q28/$Q$36</f>
        <v>#DIV/0!</v>
      </c>
      <c r="T28" s="840" t="e">
        <f t="shared" si="0"/>
        <v>#DIV/0!</v>
      </c>
      <c r="U28" s="840" t="e">
        <f t="shared" si="5"/>
        <v>#DIV/0!</v>
      </c>
      <c r="V28" s="840" t="e">
        <f t="shared" si="6"/>
        <v>#DIV/0!</v>
      </c>
      <c r="W28" s="840" t="e">
        <f t="shared" si="7"/>
        <v>#DIV/0!</v>
      </c>
      <c r="X28" s="842"/>
      <c r="Y28" s="843"/>
      <c r="Z28" s="844">
        <f>Eingabe!M76</f>
        <v>0</v>
      </c>
      <c r="AA28" s="840"/>
      <c r="AB28" s="841" t="e">
        <f t="shared" ref="AB28:AB36" si="17">Z28/$Z$36</f>
        <v>#DIV/0!</v>
      </c>
      <c r="AC28" s="840" t="e">
        <f t="shared" si="8"/>
        <v>#DIV/0!</v>
      </c>
      <c r="AD28" s="840" t="e">
        <f t="shared" si="9"/>
        <v>#DIV/0!</v>
      </c>
      <c r="AE28" s="840" t="e">
        <f t="shared" si="10"/>
        <v>#DIV/0!</v>
      </c>
      <c r="AF28" s="840" t="e">
        <f t="shared" si="11"/>
        <v>#DIV/0!</v>
      </c>
      <c r="AG28" s="842"/>
    </row>
    <row r="29" spans="1:33" x14ac:dyDescent="0.2">
      <c r="A29" s="185"/>
      <c r="B29" s="107">
        <v>4</v>
      </c>
      <c r="C29" s="36" t="s">
        <v>23</v>
      </c>
      <c r="D29" s="45"/>
      <c r="E29" s="6"/>
      <c r="F29" s="32" t="s">
        <v>19</v>
      </c>
      <c r="G29" s="832">
        <f>Eingabe!K77</f>
        <v>0</v>
      </c>
      <c r="H29" s="833"/>
      <c r="I29" s="834" t="e">
        <f t="shared" si="15"/>
        <v>#DIV/0!</v>
      </c>
      <c r="J29" s="833" t="e">
        <f t="shared" si="1"/>
        <v>#DIV/0!</v>
      </c>
      <c r="K29" s="833" t="e">
        <f t="shared" si="2"/>
        <v>#DIV/0!</v>
      </c>
      <c r="L29" s="833" t="e">
        <f t="shared" si="3"/>
        <v>#DIV/0!</v>
      </c>
      <c r="M29" s="833" t="e">
        <f t="shared" si="4"/>
        <v>#DIV/0!</v>
      </c>
      <c r="N29" s="835"/>
      <c r="O29" s="474"/>
      <c r="P29" s="843"/>
      <c r="Q29" s="844">
        <f>Eingabe!L77</f>
        <v>0</v>
      </c>
      <c r="R29" s="833"/>
      <c r="S29" s="834" t="e">
        <f t="shared" si="16"/>
        <v>#DIV/0!</v>
      </c>
      <c r="T29" s="833" t="e">
        <f t="shared" si="0"/>
        <v>#DIV/0!</v>
      </c>
      <c r="U29" s="833" t="e">
        <f t="shared" si="5"/>
        <v>#DIV/0!</v>
      </c>
      <c r="V29" s="833" t="e">
        <f t="shared" si="6"/>
        <v>#DIV/0!</v>
      </c>
      <c r="W29" s="833" t="e">
        <f t="shared" si="7"/>
        <v>#DIV/0!</v>
      </c>
      <c r="X29" s="835"/>
      <c r="Y29" s="843"/>
      <c r="Z29" s="832">
        <f>Eingabe!M77</f>
        <v>0</v>
      </c>
      <c r="AA29" s="833"/>
      <c r="AB29" s="834" t="e">
        <f t="shared" si="17"/>
        <v>#DIV/0!</v>
      </c>
      <c r="AC29" s="833" t="e">
        <f t="shared" si="8"/>
        <v>#DIV/0!</v>
      </c>
      <c r="AD29" s="833" t="e">
        <f t="shared" si="9"/>
        <v>#DIV/0!</v>
      </c>
      <c r="AE29" s="833" t="e">
        <f t="shared" si="10"/>
        <v>#DIV/0!</v>
      </c>
      <c r="AF29" s="833" t="e">
        <f t="shared" si="11"/>
        <v>#DIV/0!</v>
      </c>
      <c r="AG29" s="835"/>
    </row>
    <row r="30" spans="1:33" x14ac:dyDescent="0.2">
      <c r="A30" s="185"/>
      <c r="B30" s="107">
        <v>5</v>
      </c>
      <c r="C30" s="36" t="s">
        <v>24</v>
      </c>
      <c r="D30" s="45"/>
      <c r="E30" s="6" t="s">
        <v>0</v>
      </c>
      <c r="F30" s="32" t="s">
        <v>19</v>
      </c>
      <c r="G30" s="832">
        <f>Eingabe!K78</f>
        <v>0</v>
      </c>
      <c r="H30" s="833"/>
      <c r="I30" s="834" t="e">
        <f t="shared" si="15"/>
        <v>#DIV/0!</v>
      </c>
      <c r="J30" s="833" t="e">
        <f t="shared" si="1"/>
        <v>#DIV/0!</v>
      </c>
      <c r="K30" s="833" t="e">
        <f t="shared" si="2"/>
        <v>#DIV/0!</v>
      </c>
      <c r="L30" s="833" t="e">
        <f t="shared" si="3"/>
        <v>#DIV/0!</v>
      </c>
      <c r="M30" s="833" t="e">
        <f t="shared" si="4"/>
        <v>#DIV/0!</v>
      </c>
      <c r="N30" s="835"/>
      <c r="O30" s="474"/>
      <c r="P30" s="843"/>
      <c r="Q30" s="844">
        <f>Eingabe!L78</f>
        <v>0</v>
      </c>
      <c r="R30" s="833"/>
      <c r="S30" s="834" t="e">
        <f t="shared" si="16"/>
        <v>#DIV/0!</v>
      </c>
      <c r="T30" s="833" t="e">
        <f t="shared" si="0"/>
        <v>#DIV/0!</v>
      </c>
      <c r="U30" s="833" t="e">
        <f t="shared" si="5"/>
        <v>#DIV/0!</v>
      </c>
      <c r="V30" s="833" t="e">
        <f t="shared" si="6"/>
        <v>#DIV/0!</v>
      </c>
      <c r="W30" s="833" t="e">
        <f t="shared" si="7"/>
        <v>#DIV/0!</v>
      </c>
      <c r="X30" s="835"/>
      <c r="Y30" s="843"/>
      <c r="Z30" s="832">
        <f>Eingabe!M78</f>
        <v>0</v>
      </c>
      <c r="AA30" s="833"/>
      <c r="AB30" s="834" t="e">
        <f t="shared" si="17"/>
        <v>#DIV/0!</v>
      </c>
      <c r="AC30" s="833" t="e">
        <f t="shared" si="8"/>
        <v>#DIV/0!</v>
      </c>
      <c r="AD30" s="833" t="e">
        <f t="shared" si="9"/>
        <v>#DIV/0!</v>
      </c>
      <c r="AE30" s="833" t="e">
        <f t="shared" si="10"/>
        <v>#DIV/0!</v>
      </c>
      <c r="AF30" s="833" t="e">
        <f t="shared" si="11"/>
        <v>#DIV/0!</v>
      </c>
      <c r="AG30" s="835"/>
    </row>
    <row r="31" spans="1:33" x14ac:dyDescent="0.2">
      <c r="A31" s="185"/>
      <c r="B31" s="152" t="s">
        <v>143</v>
      </c>
      <c r="C31" s="978" t="s">
        <v>144</v>
      </c>
      <c r="D31" s="979"/>
      <c r="E31" s="6" t="s">
        <v>0</v>
      </c>
      <c r="F31" s="32" t="s">
        <v>19</v>
      </c>
      <c r="G31" s="832">
        <f>Eingabe!K79</f>
        <v>0</v>
      </c>
      <c r="H31" s="833"/>
      <c r="I31" s="834" t="e">
        <f t="shared" si="15"/>
        <v>#DIV/0!</v>
      </c>
      <c r="J31" s="833" t="e">
        <f t="shared" si="1"/>
        <v>#DIV/0!</v>
      </c>
      <c r="K31" s="833" t="e">
        <f t="shared" si="2"/>
        <v>#DIV/0!</v>
      </c>
      <c r="L31" s="833" t="e">
        <f t="shared" si="3"/>
        <v>#DIV/0!</v>
      </c>
      <c r="M31" s="833" t="e">
        <f t="shared" si="4"/>
        <v>#DIV/0!</v>
      </c>
      <c r="N31" s="835"/>
      <c r="O31" s="474"/>
      <c r="P31" s="843"/>
      <c r="Q31" s="844">
        <f>Eingabe!L79</f>
        <v>0</v>
      </c>
      <c r="R31" s="833"/>
      <c r="S31" s="834" t="e">
        <f t="shared" si="16"/>
        <v>#DIV/0!</v>
      </c>
      <c r="T31" s="833" t="e">
        <f t="shared" si="0"/>
        <v>#DIV/0!</v>
      </c>
      <c r="U31" s="833" t="e">
        <f t="shared" si="5"/>
        <v>#DIV/0!</v>
      </c>
      <c r="V31" s="833" t="e">
        <f t="shared" si="6"/>
        <v>#DIV/0!</v>
      </c>
      <c r="W31" s="833" t="e">
        <f t="shared" si="7"/>
        <v>#DIV/0!</v>
      </c>
      <c r="X31" s="835"/>
      <c r="Y31" s="843"/>
      <c r="Z31" s="832">
        <f>Eingabe!M79</f>
        <v>0</v>
      </c>
      <c r="AA31" s="833"/>
      <c r="AB31" s="834" t="e">
        <f t="shared" si="17"/>
        <v>#DIV/0!</v>
      </c>
      <c r="AC31" s="833" t="e">
        <f t="shared" si="8"/>
        <v>#DIV/0!</v>
      </c>
      <c r="AD31" s="833" t="e">
        <f t="shared" si="9"/>
        <v>#DIV/0!</v>
      </c>
      <c r="AE31" s="833" t="e">
        <f t="shared" si="10"/>
        <v>#DIV/0!</v>
      </c>
      <c r="AF31" s="833" t="e">
        <f t="shared" si="11"/>
        <v>#DIV/0!</v>
      </c>
      <c r="AG31" s="835"/>
    </row>
    <row r="32" spans="1:33" x14ac:dyDescent="0.2">
      <c r="A32" s="185"/>
      <c r="B32" s="107">
        <v>9</v>
      </c>
      <c r="C32" s="36" t="s">
        <v>142</v>
      </c>
      <c r="D32" s="45"/>
      <c r="E32" s="6" t="s">
        <v>0</v>
      </c>
      <c r="F32" s="32" t="s">
        <v>19</v>
      </c>
      <c r="G32" s="832">
        <f>Eingabe!K80</f>
        <v>0</v>
      </c>
      <c r="H32" s="833"/>
      <c r="I32" s="834" t="e">
        <f t="shared" si="15"/>
        <v>#DIV/0!</v>
      </c>
      <c r="J32" s="833" t="e">
        <f t="shared" si="1"/>
        <v>#DIV/0!</v>
      </c>
      <c r="K32" s="833" t="e">
        <f t="shared" si="2"/>
        <v>#DIV/0!</v>
      </c>
      <c r="L32" s="833" t="e">
        <f t="shared" si="3"/>
        <v>#DIV/0!</v>
      </c>
      <c r="M32" s="833" t="e">
        <f t="shared" si="4"/>
        <v>#DIV/0!</v>
      </c>
      <c r="N32" s="835"/>
      <c r="O32" s="474"/>
      <c r="P32" s="843"/>
      <c r="Q32" s="844">
        <f>Eingabe!L80</f>
        <v>0</v>
      </c>
      <c r="R32" s="833"/>
      <c r="S32" s="834" t="e">
        <f t="shared" si="16"/>
        <v>#DIV/0!</v>
      </c>
      <c r="T32" s="833" t="e">
        <f t="shared" si="0"/>
        <v>#DIV/0!</v>
      </c>
      <c r="U32" s="833" t="e">
        <f t="shared" si="5"/>
        <v>#DIV/0!</v>
      </c>
      <c r="V32" s="833" t="e">
        <f t="shared" si="6"/>
        <v>#DIV/0!</v>
      </c>
      <c r="W32" s="833" t="e">
        <f t="shared" si="7"/>
        <v>#DIV/0!</v>
      </c>
      <c r="X32" s="835"/>
      <c r="Y32" s="843"/>
      <c r="Z32" s="832">
        <f>Eingabe!M80</f>
        <v>0</v>
      </c>
      <c r="AA32" s="833"/>
      <c r="AB32" s="834" t="e">
        <f t="shared" si="17"/>
        <v>#DIV/0!</v>
      </c>
      <c r="AC32" s="833" t="e">
        <f t="shared" si="8"/>
        <v>#DIV/0!</v>
      </c>
      <c r="AD32" s="833" t="e">
        <f t="shared" si="9"/>
        <v>#DIV/0!</v>
      </c>
      <c r="AE32" s="833" t="e">
        <f t="shared" si="10"/>
        <v>#DIV/0!</v>
      </c>
      <c r="AF32" s="833" t="e">
        <f t="shared" si="11"/>
        <v>#DIV/0!</v>
      </c>
      <c r="AG32" s="835"/>
    </row>
    <row r="33" spans="1:33" x14ac:dyDescent="0.2">
      <c r="A33" s="185"/>
      <c r="B33" s="114"/>
      <c r="C33" s="37" t="s">
        <v>198</v>
      </c>
      <c r="D33" s="46"/>
      <c r="E33" s="4"/>
      <c r="F33" s="32" t="s">
        <v>19</v>
      </c>
      <c r="G33" s="865">
        <f>G32+G31+G30+G29+G28+G13+G12</f>
        <v>0</v>
      </c>
      <c r="H33" s="866"/>
      <c r="I33" s="867" t="e">
        <f t="shared" si="15"/>
        <v>#DIV/0!</v>
      </c>
      <c r="J33" s="866" t="e">
        <f t="shared" si="1"/>
        <v>#DIV/0!</v>
      </c>
      <c r="K33" s="866" t="e">
        <f t="shared" si="2"/>
        <v>#DIV/0!</v>
      </c>
      <c r="L33" s="866" t="e">
        <f t="shared" si="3"/>
        <v>#DIV/0!</v>
      </c>
      <c r="M33" s="866" t="e">
        <f t="shared" si="4"/>
        <v>#DIV/0!</v>
      </c>
      <c r="N33" s="868"/>
      <c r="O33" s="489"/>
      <c r="P33" s="187"/>
      <c r="Q33" s="865">
        <f>Q32+Q31+Q30+Q29+Q28+Q13+Q12</f>
        <v>0</v>
      </c>
      <c r="R33" s="866"/>
      <c r="S33" s="867" t="e">
        <f t="shared" si="16"/>
        <v>#DIV/0!</v>
      </c>
      <c r="T33" s="866" t="e">
        <f t="shared" si="0"/>
        <v>#DIV/0!</v>
      </c>
      <c r="U33" s="866" t="e">
        <f t="shared" si="5"/>
        <v>#DIV/0!</v>
      </c>
      <c r="V33" s="866" t="e">
        <f t="shared" si="6"/>
        <v>#DIV/0!</v>
      </c>
      <c r="W33" s="866" t="e">
        <f t="shared" si="7"/>
        <v>#DIV/0!</v>
      </c>
      <c r="X33" s="868"/>
      <c r="Y33" s="187"/>
      <c r="Z33" s="865">
        <f>Z32+Z31+Z30+Z29+Z28+Z13+Z12</f>
        <v>0</v>
      </c>
      <c r="AA33" s="866"/>
      <c r="AB33" s="867" t="e">
        <f t="shared" si="17"/>
        <v>#DIV/0!</v>
      </c>
      <c r="AC33" s="866" t="e">
        <f t="shared" si="8"/>
        <v>#DIV/0!</v>
      </c>
      <c r="AD33" s="866" t="e">
        <f t="shared" si="9"/>
        <v>#DIV/0!</v>
      </c>
      <c r="AE33" s="866" t="e">
        <f t="shared" si="10"/>
        <v>#DIV/0!</v>
      </c>
      <c r="AF33" s="866" t="e">
        <f t="shared" si="11"/>
        <v>#DIV/0!</v>
      </c>
      <c r="AG33" s="868"/>
    </row>
    <row r="34" spans="1:33" x14ac:dyDescent="0.2">
      <c r="A34" s="185"/>
      <c r="B34" s="106" t="s">
        <v>20</v>
      </c>
      <c r="C34" s="36" t="s">
        <v>92</v>
      </c>
      <c r="D34" s="45"/>
      <c r="E34" s="6" t="s">
        <v>6</v>
      </c>
      <c r="F34" s="32" t="s">
        <v>19</v>
      </c>
      <c r="G34" s="832">
        <f>Eingabe!K82</f>
        <v>0</v>
      </c>
      <c r="H34" s="833"/>
      <c r="I34" s="834" t="e">
        <f t="shared" si="15"/>
        <v>#DIV/0!</v>
      </c>
      <c r="J34" s="833" t="e">
        <f t="shared" si="1"/>
        <v>#DIV/0!</v>
      </c>
      <c r="K34" s="833" t="e">
        <f t="shared" si="2"/>
        <v>#DIV/0!</v>
      </c>
      <c r="L34" s="833" t="e">
        <f t="shared" si="3"/>
        <v>#DIV/0!</v>
      </c>
      <c r="M34" s="833" t="e">
        <f t="shared" si="4"/>
        <v>#DIV/0!</v>
      </c>
      <c r="N34" s="835"/>
      <c r="O34" s="474"/>
      <c r="P34" s="843"/>
      <c r="Q34" s="832">
        <f>Eingabe!L82</f>
        <v>0</v>
      </c>
      <c r="R34" s="833"/>
      <c r="S34" s="834" t="e">
        <f t="shared" si="16"/>
        <v>#DIV/0!</v>
      </c>
      <c r="T34" s="833" t="e">
        <f t="shared" si="0"/>
        <v>#DIV/0!</v>
      </c>
      <c r="U34" s="833" t="e">
        <f t="shared" si="5"/>
        <v>#DIV/0!</v>
      </c>
      <c r="V34" s="833" t="e">
        <f t="shared" si="6"/>
        <v>#DIV/0!</v>
      </c>
      <c r="W34" s="833" t="e">
        <f t="shared" si="7"/>
        <v>#DIV/0!</v>
      </c>
      <c r="X34" s="835"/>
      <c r="Y34" s="843"/>
      <c r="Z34" s="832">
        <f>Eingabe!M82</f>
        <v>0</v>
      </c>
      <c r="AA34" s="833"/>
      <c r="AB34" s="834" t="e">
        <f t="shared" si="17"/>
        <v>#DIV/0!</v>
      </c>
      <c r="AC34" s="833" t="e">
        <f t="shared" si="8"/>
        <v>#DIV/0!</v>
      </c>
      <c r="AD34" s="833" t="e">
        <f t="shared" si="9"/>
        <v>#DIV/0!</v>
      </c>
      <c r="AE34" s="833" t="e">
        <f t="shared" si="10"/>
        <v>#DIV/0!</v>
      </c>
      <c r="AF34" s="833" t="e">
        <f t="shared" si="11"/>
        <v>#DIV/0!</v>
      </c>
      <c r="AG34" s="835"/>
    </row>
    <row r="35" spans="1:33" x14ac:dyDescent="0.2">
      <c r="A35" s="185"/>
      <c r="B35" s="112">
        <v>1</v>
      </c>
      <c r="C35" s="79" t="s">
        <v>74</v>
      </c>
      <c r="D35" s="80"/>
      <c r="E35" s="78" t="s">
        <v>0</v>
      </c>
      <c r="F35" s="517" t="s">
        <v>19</v>
      </c>
      <c r="G35" s="832">
        <f>Eingabe!K60</f>
        <v>0</v>
      </c>
      <c r="H35" s="845"/>
      <c r="I35" s="846" t="e">
        <f>G35/$G$36</f>
        <v>#DIV/0!</v>
      </c>
      <c r="J35" s="845" t="e">
        <f>G35/$J$11</f>
        <v>#DIV/0!</v>
      </c>
      <c r="K35" s="845" t="e">
        <f>G35/$K$11</f>
        <v>#DIV/0!</v>
      </c>
      <c r="L35" s="845" t="e">
        <f>G35/$L$11</f>
        <v>#DIV/0!</v>
      </c>
      <c r="M35" s="845" t="e">
        <f>G35/$M$11</f>
        <v>#DIV/0!</v>
      </c>
      <c r="N35" s="847"/>
      <c r="O35" s="474"/>
      <c r="P35" s="843"/>
      <c r="Q35" s="832">
        <f>Eingabe!L60</f>
        <v>0</v>
      </c>
      <c r="R35" s="845"/>
      <c r="S35" s="846" t="e">
        <f>Q35/$Q$36</f>
        <v>#DIV/0!</v>
      </c>
      <c r="T35" s="845" t="e">
        <f>Q35/$T$11</f>
        <v>#DIV/0!</v>
      </c>
      <c r="U35" s="845" t="e">
        <f>Q35/$U$11</f>
        <v>#DIV/0!</v>
      </c>
      <c r="V35" s="845" t="e">
        <f>Q35/$V$11</f>
        <v>#DIV/0!</v>
      </c>
      <c r="W35" s="845" t="e">
        <f>Q35/$W$11</f>
        <v>#DIV/0!</v>
      </c>
      <c r="X35" s="847"/>
      <c r="Y35" s="843"/>
      <c r="Z35" s="832">
        <f>Eingabe!M60</f>
        <v>0</v>
      </c>
      <c r="AA35" s="845"/>
      <c r="AB35" s="846" t="e">
        <f>Z35/$Z$36</f>
        <v>#DIV/0!</v>
      </c>
      <c r="AC35" s="833" t="e">
        <f>Z35/$AC$11</f>
        <v>#DIV/0!</v>
      </c>
      <c r="AD35" s="833" t="e">
        <f>Z35/$AD$11</f>
        <v>#DIV/0!</v>
      </c>
      <c r="AE35" s="833" t="e">
        <f>Z35/$AE$11</f>
        <v>#DIV/0!</v>
      </c>
      <c r="AF35" s="833" t="e">
        <f>Z35/AF$11</f>
        <v>#DIV/0!</v>
      </c>
      <c r="AG35" s="847"/>
    </row>
    <row r="36" spans="1:33" x14ac:dyDescent="0.2">
      <c r="A36" s="185"/>
      <c r="B36" s="115"/>
      <c r="C36" s="116" t="s">
        <v>94</v>
      </c>
      <c r="D36" s="117"/>
      <c r="E36" s="18"/>
      <c r="F36" s="90" t="s">
        <v>19</v>
      </c>
      <c r="G36" s="869">
        <f>G33+G34+G35</f>
        <v>0</v>
      </c>
      <c r="H36" s="870"/>
      <c r="I36" s="871" t="e">
        <f t="shared" si="15"/>
        <v>#DIV/0!</v>
      </c>
      <c r="J36" s="870" t="e">
        <f t="shared" si="1"/>
        <v>#DIV/0!</v>
      </c>
      <c r="K36" s="870" t="e">
        <f t="shared" si="2"/>
        <v>#DIV/0!</v>
      </c>
      <c r="L36" s="870" t="e">
        <f t="shared" si="3"/>
        <v>#DIV/0!</v>
      </c>
      <c r="M36" s="870" t="e">
        <f t="shared" si="4"/>
        <v>#DIV/0!</v>
      </c>
      <c r="N36" s="872"/>
      <c r="O36" s="489"/>
      <c r="P36" s="187"/>
      <c r="Q36" s="869">
        <f>Q33+Q34+Q35</f>
        <v>0</v>
      </c>
      <c r="R36" s="870"/>
      <c r="S36" s="871" t="e">
        <f t="shared" si="16"/>
        <v>#DIV/0!</v>
      </c>
      <c r="T36" s="870" t="e">
        <f t="shared" si="0"/>
        <v>#DIV/0!</v>
      </c>
      <c r="U36" s="870" t="e">
        <f t="shared" si="5"/>
        <v>#DIV/0!</v>
      </c>
      <c r="V36" s="870" t="e">
        <f t="shared" si="6"/>
        <v>#DIV/0!</v>
      </c>
      <c r="W36" s="870" t="e">
        <f t="shared" si="7"/>
        <v>#DIV/0!</v>
      </c>
      <c r="X36" s="872"/>
      <c r="Y36" s="187"/>
      <c r="Z36" s="869">
        <f>Z33+Z34+Z35</f>
        <v>0</v>
      </c>
      <c r="AA36" s="870"/>
      <c r="AB36" s="871" t="e">
        <f t="shared" si="17"/>
        <v>#DIV/0!</v>
      </c>
      <c r="AC36" s="870" t="e">
        <f t="shared" si="8"/>
        <v>#DIV/0!</v>
      </c>
      <c r="AD36" s="870" t="e">
        <f t="shared" si="9"/>
        <v>#DIV/0!</v>
      </c>
      <c r="AE36" s="870" t="e">
        <f t="shared" si="10"/>
        <v>#DIV/0!</v>
      </c>
      <c r="AF36" s="870" t="e">
        <f t="shared" si="11"/>
        <v>#DIV/0!</v>
      </c>
      <c r="AG36" s="872"/>
    </row>
    <row r="37" spans="1:33" x14ac:dyDescent="0.2">
      <c r="A37" s="2"/>
      <c r="B37" s="3"/>
      <c r="G37" s="9"/>
      <c r="H37" s="9"/>
      <c r="I37" s="9"/>
      <c r="J37" s="9"/>
      <c r="K37" s="9"/>
      <c r="L37" s="9"/>
      <c r="M37" s="9"/>
      <c r="N37" s="238"/>
    </row>
    <row r="38" spans="1:33" x14ac:dyDescent="0.2">
      <c r="A38" s="2"/>
      <c r="B38" s="200"/>
      <c r="C38" s="121" t="s">
        <v>53</v>
      </c>
      <c r="D38" s="201"/>
      <c r="E38" s="201"/>
      <c r="F38" s="201"/>
      <c r="G38" s="200"/>
      <c r="H38" s="201"/>
      <c r="I38" s="201"/>
      <c r="J38" s="201"/>
      <c r="K38" s="201"/>
      <c r="L38" s="201"/>
      <c r="M38" s="201"/>
      <c r="N38" s="202"/>
      <c r="P38" s="238"/>
      <c r="Q38" s="201"/>
      <c r="R38" s="201"/>
      <c r="S38" s="201"/>
      <c r="T38" s="201"/>
      <c r="U38" s="201"/>
      <c r="V38" s="201"/>
      <c r="W38" s="201"/>
      <c r="X38" s="202"/>
      <c r="Y38" s="238"/>
      <c r="Z38" s="201"/>
      <c r="AA38" s="201"/>
      <c r="AB38" s="201"/>
      <c r="AC38" s="201"/>
      <c r="AD38" s="201"/>
      <c r="AE38" s="201"/>
      <c r="AF38" s="201"/>
      <c r="AG38" s="202"/>
    </row>
    <row r="39" spans="1:33" x14ac:dyDescent="0.2">
      <c r="A39" s="2"/>
      <c r="B39" s="203"/>
      <c r="C39" s="204" t="s">
        <v>89</v>
      </c>
      <c r="D39" s="88"/>
      <c r="E39" s="88"/>
      <c r="F39" s="88"/>
      <c r="G39" s="848" t="e">
        <f>Eingabe!K15/Eingabe!K32</f>
        <v>#DIV/0!</v>
      </c>
      <c r="H39" s="205"/>
      <c r="I39" s="205"/>
      <c r="J39" s="88"/>
      <c r="K39" s="88"/>
      <c r="L39" s="88"/>
      <c r="M39" s="88"/>
      <c r="N39" s="206"/>
      <c r="P39" s="238"/>
      <c r="Q39" s="850" t="e">
        <f>Eingabe!L15/Eingabe!L32</f>
        <v>#DIV/0!</v>
      </c>
      <c r="R39" s="205"/>
      <c r="S39" s="205"/>
      <c r="T39" s="88"/>
      <c r="U39" s="88"/>
      <c r="V39" s="88"/>
      <c r="W39" s="88"/>
      <c r="X39" s="206"/>
      <c r="Y39" s="238"/>
      <c r="Z39" s="850" t="e">
        <f>Eingabe!M15/Eingabe!M32</f>
        <v>#DIV/0!</v>
      </c>
      <c r="AA39" s="205"/>
      <c r="AB39" s="205"/>
      <c r="AC39" s="88"/>
      <c r="AD39" s="88"/>
      <c r="AE39" s="88"/>
      <c r="AF39" s="88"/>
      <c r="AG39" s="206"/>
    </row>
    <row r="40" spans="1:33" x14ac:dyDescent="0.2">
      <c r="A40" s="2"/>
      <c r="B40" s="203"/>
      <c r="C40" s="204" t="s">
        <v>90</v>
      </c>
      <c r="D40" s="88"/>
      <c r="E40" s="88"/>
      <c r="F40" s="88"/>
      <c r="G40" s="848" t="e">
        <f>Eingabe!K15/Eingabe!K31</f>
        <v>#DIV/0!</v>
      </c>
      <c r="H40" s="205"/>
      <c r="I40" s="205"/>
      <c r="J40" s="88"/>
      <c r="K40" s="88"/>
      <c r="L40" s="88"/>
      <c r="M40" s="88"/>
      <c r="N40" s="206"/>
      <c r="P40" s="238"/>
      <c r="Q40" s="850" t="e">
        <f>Eingabe!L15/Eingabe!L31</f>
        <v>#DIV/0!</v>
      </c>
      <c r="R40" s="205"/>
      <c r="S40" s="205"/>
      <c r="T40" s="88"/>
      <c r="U40" s="88"/>
      <c r="V40" s="88"/>
      <c r="W40" s="88"/>
      <c r="X40" s="206"/>
      <c r="Y40" s="238"/>
      <c r="Z40" s="850" t="e">
        <f>Eingabe!M15/Eingabe!M31</f>
        <v>#DIV/0!</v>
      </c>
      <c r="AA40" s="205"/>
      <c r="AB40" s="205"/>
      <c r="AC40" s="88"/>
      <c r="AD40" s="88"/>
      <c r="AE40" s="88"/>
      <c r="AF40" s="88"/>
      <c r="AG40" s="206"/>
    </row>
    <row r="41" spans="1:33" x14ac:dyDescent="0.2">
      <c r="A41" s="2"/>
      <c r="B41" s="203"/>
      <c r="C41" s="204" t="s">
        <v>391</v>
      </c>
      <c r="D41" s="88"/>
      <c r="E41" s="88"/>
      <c r="F41" s="88"/>
      <c r="G41" s="848" t="e">
        <f>Eingabe!K44/Eingabe!K31</f>
        <v>#DIV/0!</v>
      </c>
      <c r="H41" s="205"/>
      <c r="I41" s="205"/>
      <c r="J41" s="88"/>
      <c r="K41" s="88"/>
      <c r="L41" s="88"/>
      <c r="M41" s="88"/>
      <c r="N41" s="206"/>
      <c r="P41" s="238"/>
      <c r="Q41" s="850" t="e">
        <f>Eingabe!L44/Eingabe!L31</f>
        <v>#DIV/0!</v>
      </c>
      <c r="R41" s="205"/>
      <c r="S41" s="205"/>
      <c r="T41" s="88"/>
      <c r="U41" s="88"/>
      <c r="V41" s="88"/>
      <c r="W41" s="88"/>
      <c r="X41" s="206"/>
      <c r="Y41" s="238"/>
      <c r="Z41" s="850" t="e">
        <f>Eingabe!M44/Eingabe!M31</f>
        <v>#DIV/0!</v>
      </c>
      <c r="AA41" s="205"/>
      <c r="AB41" s="205"/>
      <c r="AC41" s="88"/>
      <c r="AD41" s="88"/>
      <c r="AE41" s="88"/>
      <c r="AF41" s="88"/>
      <c r="AG41" s="206"/>
    </row>
    <row r="42" spans="1:33" x14ac:dyDescent="0.2">
      <c r="A42" s="2"/>
      <c r="B42" s="203"/>
      <c r="C42" s="204" t="s">
        <v>392</v>
      </c>
      <c r="D42" s="88"/>
      <c r="E42" s="88"/>
      <c r="F42" s="88"/>
      <c r="G42" s="848" t="e">
        <f>(Eingabe!K43+Eingabe!K44+Eingabe!K48)/Eingabe!K31</f>
        <v>#DIV/0!</v>
      </c>
      <c r="H42" s="205"/>
      <c r="I42" s="205"/>
      <c r="J42" s="88"/>
      <c r="K42" s="88"/>
      <c r="L42" s="88"/>
      <c r="M42" s="88"/>
      <c r="N42" s="206"/>
      <c r="P42" s="238"/>
      <c r="Q42" s="850" t="e">
        <f>(Eingabe!L43+Eingabe!L44+Eingabe!L48)/Eingabe!L31</f>
        <v>#DIV/0!</v>
      </c>
      <c r="R42" s="205"/>
      <c r="S42" s="205"/>
      <c r="T42" s="88"/>
      <c r="U42" s="88"/>
      <c r="V42" s="88"/>
      <c r="W42" s="88"/>
      <c r="X42" s="206"/>
      <c r="Y42" s="238"/>
      <c r="Z42" s="850" t="e">
        <f>(Eingabe!M43+Eingabe!M44+Eingabe!M48)/Eingabe!M31</f>
        <v>#DIV/0!</v>
      </c>
      <c r="AA42" s="205"/>
      <c r="AB42" s="205"/>
      <c r="AC42" s="88"/>
      <c r="AD42" s="88"/>
      <c r="AE42" s="88"/>
      <c r="AF42" s="88"/>
      <c r="AG42" s="206"/>
    </row>
    <row r="43" spans="1:33" x14ac:dyDescent="0.2">
      <c r="A43" s="2"/>
      <c r="B43" s="207"/>
      <c r="C43" s="208" t="s">
        <v>393</v>
      </c>
      <c r="D43" s="209"/>
      <c r="E43" s="209"/>
      <c r="F43" s="209"/>
      <c r="G43" s="849" t="e">
        <f>Eingabe!K47/Eingabe!K46</f>
        <v>#DIV/0!</v>
      </c>
      <c r="H43" s="210"/>
      <c r="I43" s="210"/>
      <c r="J43" s="209"/>
      <c r="K43" s="209"/>
      <c r="L43" s="209"/>
      <c r="M43" s="209"/>
      <c r="N43" s="211"/>
      <c r="P43" s="238"/>
      <c r="Q43" s="851" t="e">
        <f>Eingabe!L47/Eingabe!L46</f>
        <v>#DIV/0!</v>
      </c>
      <c r="R43" s="210"/>
      <c r="S43" s="210"/>
      <c r="T43" s="209"/>
      <c r="U43" s="209"/>
      <c r="V43" s="209"/>
      <c r="W43" s="209"/>
      <c r="X43" s="211"/>
      <c r="Y43" s="238"/>
      <c r="Z43" s="851" t="e">
        <f>Eingabe!M47/Eingabe!M46</f>
        <v>#DIV/0!</v>
      </c>
      <c r="AA43" s="210"/>
      <c r="AB43" s="210"/>
      <c r="AC43" s="209"/>
      <c r="AD43" s="209"/>
      <c r="AE43" s="209"/>
      <c r="AF43" s="209"/>
      <c r="AG43" s="211"/>
    </row>
    <row r="44" spans="1:33" x14ac:dyDescent="0.2">
      <c r="A44" s="2"/>
      <c r="B44" s="9"/>
      <c r="C44" s="52"/>
      <c r="E44" s="9"/>
      <c r="F44" s="9"/>
      <c r="G44" s="241"/>
      <c r="H44" s="213"/>
      <c r="I44" s="213"/>
      <c r="J44" s="9"/>
      <c r="K44" s="9"/>
      <c r="L44" s="9"/>
      <c r="M44" s="9"/>
      <c r="N44" s="9"/>
      <c r="Q44" s="241"/>
      <c r="R44" s="213"/>
      <c r="S44" s="213"/>
      <c r="T44" s="9"/>
      <c r="U44" s="9"/>
      <c r="V44" s="9"/>
      <c r="W44" s="9"/>
      <c r="X44" s="9"/>
      <c r="Y44" s="9"/>
      <c r="Z44" s="241"/>
      <c r="AA44" s="213"/>
      <c r="AB44" s="213"/>
      <c r="AC44" s="9"/>
      <c r="AD44" s="9"/>
      <c r="AE44" s="9"/>
      <c r="AF44" s="9"/>
      <c r="AG44" s="9"/>
    </row>
    <row r="45" spans="1:33" x14ac:dyDescent="0.2">
      <c r="A45" s="2"/>
      <c r="D45" s="2"/>
    </row>
    <row r="46" spans="1:33" x14ac:dyDescent="0.2">
      <c r="A46" s="2"/>
      <c r="B46" s="3" t="s">
        <v>199</v>
      </c>
      <c r="G46" s="188" t="str">
        <f t="shared" ref="G46:G52" si="18">G1</f>
        <v>Vorprojekt</v>
      </c>
      <c r="H46" s="155"/>
      <c r="I46" s="155"/>
      <c r="J46" s="155"/>
      <c r="K46" s="155"/>
      <c r="L46" s="186"/>
      <c r="M46" s="186"/>
      <c r="N46" s="232"/>
      <c r="Q46" s="188" t="str">
        <f t="shared" ref="Q46:Q53" si="19">Q1</f>
        <v>Bauprojekt</v>
      </c>
      <c r="R46" s="155"/>
      <c r="S46" s="155"/>
      <c r="T46" s="155"/>
      <c r="U46" s="155"/>
      <c r="V46" s="186"/>
      <c r="W46" s="186"/>
      <c r="X46" s="232"/>
      <c r="Y46" s="388"/>
      <c r="Z46" s="188" t="str">
        <f t="shared" ref="Z46:Z53" si="20">Z1</f>
        <v>Bau-</v>
      </c>
      <c r="AA46" s="155"/>
      <c r="AB46" s="155"/>
      <c r="AC46" s="155"/>
      <c r="AD46" s="155"/>
      <c r="AE46" s="186"/>
      <c r="AF46" s="186"/>
      <c r="AG46" s="232"/>
    </row>
    <row r="47" spans="1:33" x14ac:dyDescent="0.2">
      <c r="A47" s="2"/>
      <c r="G47" s="190" t="str">
        <f t="shared" si="18"/>
        <v>KS</v>
      </c>
      <c r="H47" s="149"/>
      <c r="I47" s="149"/>
      <c r="J47" s="149"/>
      <c r="K47" s="149"/>
      <c r="L47" s="189"/>
      <c r="M47" s="189"/>
      <c r="N47" s="233"/>
      <c r="Q47" s="190" t="str">
        <f t="shared" si="19"/>
        <v>KV</v>
      </c>
      <c r="R47" s="149"/>
      <c r="S47" s="149"/>
      <c r="T47" s="149"/>
      <c r="U47" s="149"/>
      <c r="V47" s="189"/>
      <c r="W47" s="189"/>
      <c r="X47" s="233"/>
      <c r="Z47" s="190" t="str">
        <f t="shared" si="20"/>
        <v>abrechnung</v>
      </c>
      <c r="AA47" s="149"/>
      <c r="AB47" s="149"/>
      <c r="AC47" s="149"/>
      <c r="AD47" s="149"/>
      <c r="AE47" s="189"/>
      <c r="AF47" s="189"/>
      <c r="AG47" s="233"/>
    </row>
    <row r="48" spans="1:33" x14ac:dyDescent="0.2">
      <c r="A48" s="2"/>
      <c r="E48" s="147" t="s">
        <v>141</v>
      </c>
      <c r="G48" s="1123">
        <f t="shared" si="18"/>
        <v>0</v>
      </c>
      <c r="H48" s="1124"/>
      <c r="I48" s="1124"/>
      <c r="J48" s="1124"/>
      <c r="K48" s="1124"/>
      <c r="L48" s="1124"/>
      <c r="M48" s="1124"/>
      <c r="N48" s="1125"/>
      <c r="Q48" s="1123">
        <f t="shared" si="19"/>
        <v>0</v>
      </c>
      <c r="R48" s="1124"/>
      <c r="S48" s="1124"/>
      <c r="T48" s="1124"/>
      <c r="U48" s="1124"/>
      <c r="V48" s="1124"/>
      <c r="W48" s="1124"/>
      <c r="X48" s="1125"/>
      <c r="Z48" s="1123">
        <f t="shared" si="20"/>
        <v>0</v>
      </c>
      <c r="AA48" s="1124"/>
      <c r="AB48" s="1124"/>
      <c r="AC48" s="1124"/>
      <c r="AD48" s="1124"/>
      <c r="AE48" s="1124"/>
      <c r="AF48" s="1124"/>
      <c r="AG48" s="1125"/>
    </row>
    <row r="49" spans="1:33" x14ac:dyDescent="0.2">
      <c r="A49" s="2"/>
      <c r="B49" s="853" t="s">
        <v>180</v>
      </c>
      <c r="C49" s="854"/>
      <c r="D49" s="855"/>
      <c r="E49" s="779" t="s">
        <v>99</v>
      </c>
      <c r="F49" s="854"/>
      <c r="G49" s="1126">
        <f t="shared" si="18"/>
        <v>0</v>
      </c>
      <c r="H49" s="1127"/>
      <c r="I49" s="1127"/>
      <c r="J49" s="1127"/>
      <c r="K49" s="1127"/>
      <c r="L49" s="1127"/>
      <c r="M49" s="1127"/>
      <c r="N49" s="1128"/>
      <c r="Q49" s="1126">
        <f t="shared" si="19"/>
        <v>0</v>
      </c>
      <c r="R49" s="1127"/>
      <c r="S49" s="1127"/>
      <c r="T49" s="1127"/>
      <c r="U49" s="1127"/>
      <c r="V49" s="1127"/>
      <c r="W49" s="1127"/>
      <c r="X49" s="1128"/>
      <c r="Z49" s="1126">
        <f t="shared" si="20"/>
        <v>0</v>
      </c>
      <c r="AA49" s="1127"/>
      <c r="AB49" s="1127"/>
      <c r="AC49" s="1127"/>
      <c r="AD49" s="1127"/>
      <c r="AE49" s="1127"/>
      <c r="AF49" s="1127"/>
      <c r="AG49" s="1128"/>
    </row>
    <row r="50" spans="1:33" x14ac:dyDescent="0.2">
      <c r="A50" s="2"/>
      <c r="B50" s="856" t="s">
        <v>151</v>
      </c>
      <c r="C50" s="857"/>
      <c r="D50" s="858"/>
      <c r="E50" s="859" t="s">
        <v>99</v>
      </c>
      <c r="F50" s="857"/>
      <c r="G50" s="1120">
        <f t="shared" si="18"/>
        <v>0</v>
      </c>
      <c r="H50" s="1121"/>
      <c r="I50" s="1121"/>
      <c r="J50" s="1121"/>
      <c r="K50" s="1121"/>
      <c r="L50" s="1121"/>
      <c r="M50" s="1121"/>
      <c r="N50" s="1122"/>
      <c r="Q50" s="1120">
        <f t="shared" si="19"/>
        <v>0</v>
      </c>
      <c r="R50" s="1121"/>
      <c r="S50" s="1121"/>
      <c r="T50" s="1121"/>
      <c r="U50" s="1121"/>
      <c r="V50" s="1121"/>
      <c r="W50" s="1121"/>
      <c r="X50" s="1122"/>
      <c r="Z50" s="1120">
        <f t="shared" si="20"/>
        <v>0</v>
      </c>
      <c r="AA50" s="1121"/>
      <c r="AB50" s="1121"/>
      <c r="AC50" s="1121"/>
      <c r="AD50" s="1121"/>
      <c r="AE50" s="1121"/>
      <c r="AF50" s="1121"/>
      <c r="AG50" s="1122"/>
    </row>
    <row r="51" spans="1:33" x14ac:dyDescent="0.2">
      <c r="A51" s="2"/>
      <c r="B51" s="421" t="s">
        <v>68</v>
      </c>
      <c r="C51" s="422"/>
      <c r="D51" s="749"/>
      <c r="E51" s="324" t="s">
        <v>99</v>
      </c>
      <c r="F51" s="422"/>
      <c r="G51" s="1108">
        <f t="shared" si="18"/>
        <v>0</v>
      </c>
      <c r="H51" s="1109"/>
      <c r="I51" s="1109"/>
      <c r="J51" s="1109"/>
      <c r="K51" s="1109"/>
      <c r="L51" s="1109"/>
      <c r="M51" s="1109"/>
      <c r="N51" s="1110"/>
      <c r="Q51" s="1108">
        <f t="shared" si="19"/>
        <v>0</v>
      </c>
      <c r="R51" s="1109"/>
      <c r="S51" s="1109"/>
      <c r="T51" s="1109"/>
      <c r="U51" s="1109"/>
      <c r="V51" s="1109"/>
      <c r="W51" s="1109"/>
      <c r="X51" s="1110"/>
      <c r="Z51" s="1108">
        <f t="shared" si="20"/>
        <v>0</v>
      </c>
      <c r="AA51" s="1109"/>
      <c r="AB51" s="1109"/>
      <c r="AC51" s="1109"/>
      <c r="AD51" s="1109"/>
      <c r="AE51" s="1109"/>
      <c r="AF51" s="1109"/>
      <c r="AG51" s="1110"/>
    </row>
    <row r="52" spans="1:33" x14ac:dyDescent="0.2">
      <c r="A52" s="2"/>
      <c r="B52" s="421" t="s">
        <v>59</v>
      </c>
      <c r="C52" s="422"/>
      <c r="D52" s="749"/>
      <c r="E52" s="324" t="s">
        <v>99</v>
      </c>
      <c r="F52" s="422"/>
      <c r="G52" s="1108">
        <f t="shared" si="18"/>
        <v>0</v>
      </c>
      <c r="H52" s="1109"/>
      <c r="I52" s="1109"/>
      <c r="J52" s="1109"/>
      <c r="K52" s="1109"/>
      <c r="L52" s="1109"/>
      <c r="M52" s="1109"/>
      <c r="N52" s="1110"/>
      <c r="Q52" s="1108">
        <f t="shared" si="19"/>
        <v>0</v>
      </c>
      <c r="R52" s="1109"/>
      <c r="S52" s="1109"/>
      <c r="T52" s="1109"/>
      <c r="U52" s="1109"/>
      <c r="V52" s="1109"/>
      <c r="W52" s="1109"/>
      <c r="X52" s="1110"/>
      <c r="Z52" s="1108">
        <f t="shared" si="20"/>
        <v>0</v>
      </c>
      <c r="AA52" s="1109"/>
      <c r="AB52" s="1109"/>
      <c r="AC52" s="1109"/>
      <c r="AD52" s="1109"/>
      <c r="AE52" s="1109"/>
      <c r="AF52" s="1109"/>
      <c r="AG52" s="1110"/>
    </row>
    <row r="53" spans="1:33" x14ac:dyDescent="0.2">
      <c r="B53" s="421" t="s">
        <v>200</v>
      </c>
      <c r="C53" s="422"/>
      <c r="D53" s="749"/>
      <c r="E53" s="324" t="s">
        <v>201</v>
      </c>
      <c r="F53" s="422"/>
      <c r="G53" s="1111">
        <f>G8</f>
        <v>0</v>
      </c>
      <c r="H53" s="1112"/>
      <c r="I53" s="1112"/>
      <c r="J53" s="1112"/>
      <c r="K53" s="1112"/>
      <c r="L53" s="1112"/>
      <c r="M53" s="1112"/>
      <c r="N53" s="1113"/>
      <c r="Q53" s="1111">
        <f t="shared" si="19"/>
        <v>0</v>
      </c>
      <c r="R53" s="1112"/>
      <c r="S53" s="1112"/>
      <c r="T53" s="1112"/>
      <c r="U53" s="1112"/>
      <c r="V53" s="1112"/>
      <c r="W53" s="1112"/>
      <c r="X53" s="1113"/>
      <c r="Z53" s="1111">
        <f t="shared" si="20"/>
        <v>0</v>
      </c>
      <c r="AA53" s="1112"/>
      <c r="AB53" s="1112"/>
      <c r="AC53" s="1112"/>
      <c r="AD53" s="1112"/>
      <c r="AE53" s="1112"/>
      <c r="AF53" s="1112"/>
      <c r="AG53" s="1113"/>
    </row>
    <row r="54" spans="1:33" x14ac:dyDescent="0.2">
      <c r="B54" s="212"/>
      <c r="C54" s="213"/>
      <c r="E54" s="9"/>
      <c r="F54" s="9"/>
      <c r="G54" s="521"/>
      <c r="H54" s="214"/>
      <c r="I54" s="214"/>
      <c r="J54" s="214"/>
      <c r="K54" s="214"/>
      <c r="L54" s="214"/>
      <c r="M54" s="214"/>
      <c r="N54" s="522"/>
      <c r="Q54" s="521"/>
      <c r="R54" s="214"/>
      <c r="S54" s="214"/>
      <c r="T54" s="214"/>
      <c r="U54" s="214"/>
      <c r="V54" s="214"/>
      <c r="W54" s="214"/>
      <c r="X54" s="522"/>
      <c r="Z54" s="521"/>
      <c r="AA54" s="214"/>
      <c r="AB54" s="214"/>
      <c r="AC54" s="214"/>
      <c r="AD54" s="214"/>
      <c r="AE54" s="214"/>
      <c r="AF54" s="214"/>
      <c r="AG54" s="522"/>
    </row>
    <row r="55" spans="1:33" ht="52.5" customHeight="1" x14ac:dyDescent="0.2">
      <c r="B55" s="860"/>
      <c r="C55" s="861" t="s">
        <v>190</v>
      </c>
      <c r="D55" s="861"/>
      <c r="E55" s="861"/>
      <c r="F55" s="861"/>
      <c r="G55" s="1114">
        <f>'Eingabe-Beschrieb'!G82</f>
        <v>0</v>
      </c>
      <c r="H55" s="1115"/>
      <c r="I55" s="1115"/>
      <c r="J55" s="1115"/>
      <c r="K55" s="1115"/>
      <c r="L55" s="1115"/>
      <c r="M55" s="1115"/>
      <c r="N55" s="1116"/>
      <c r="Q55" s="1114">
        <f>'Eingabe-Beschrieb'!G100</f>
        <v>0</v>
      </c>
      <c r="R55" s="1115"/>
      <c r="S55" s="1115"/>
      <c r="T55" s="1115"/>
      <c r="U55" s="1115"/>
      <c r="V55" s="1115"/>
      <c r="W55" s="1115"/>
      <c r="X55" s="1116"/>
      <c r="Z55" s="1114">
        <f>'Eingabe-Beschrieb'!G118</f>
        <v>0</v>
      </c>
      <c r="AA55" s="1115"/>
      <c r="AB55" s="1115"/>
      <c r="AC55" s="1115"/>
      <c r="AD55" s="1115"/>
      <c r="AE55" s="1115"/>
      <c r="AF55" s="1115"/>
      <c r="AG55" s="1116"/>
    </row>
    <row r="56" spans="1:33" ht="25.5" customHeight="1" x14ac:dyDescent="0.2">
      <c r="B56" s="215"/>
      <c r="C56" s="216" t="s">
        <v>100</v>
      </c>
      <c r="D56" s="217"/>
      <c r="E56" s="218"/>
      <c r="F56" s="518" t="s">
        <v>99</v>
      </c>
      <c r="G56" s="1117">
        <f>'Eingabe-Beschrieb'!G83</f>
        <v>0</v>
      </c>
      <c r="H56" s="1118"/>
      <c r="I56" s="1118"/>
      <c r="J56" s="1118"/>
      <c r="K56" s="1118"/>
      <c r="L56" s="1118"/>
      <c r="M56" s="1118"/>
      <c r="N56" s="1119"/>
      <c r="O56" s="213"/>
      <c r="P56" s="213"/>
      <c r="Q56" s="1117">
        <f>'Eingabe-Beschrieb'!G101</f>
        <v>0</v>
      </c>
      <c r="R56" s="1118"/>
      <c r="S56" s="1118"/>
      <c r="T56" s="1118"/>
      <c r="U56" s="1118"/>
      <c r="V56" s="1118"/>
      <c r="W56" s="1118"/>
      <c r="X56" s="1119"/>
      <c r="Y56" s="268"/>
      <c r="Z56" s="1117">
        <f>'Eingabe-Beschrieb'!G119</f>
        <v>0</v>
      </c>
      <c r="AA56" s="1118"/>
      <c r="AB56" s="1118"/>
      <c r="AC56" s="1118"/>
      <c r="AD56" s="1118"/>
      <c r="AE56" s="1118"/>
      <c r="AF56" s="1118"/>
      <c r="AG56" s="1119"/>
    </row>
    <row r="57" spans="1:33" ht="25.5" customHeight="1" x14ac:dyDescent="0.2">
      <c r="B57" s="106"/>
      <c r="C57" s="219" t="s">
        <v>101</v>
      </c>
      <c r="D57" s="220"/>
      <c r="E57" s="221"/>
      <c r="F57" s="519" t="s">
        <v>99</v>
      </c>
      <c r="G57" s="1102">
        <f>'Eingabe-Beschrieb'!G84</f>
        <v>0</v>
      </c>
      <c r="H57" s="1103"/>
      <c r="I57" s="1103"/>
      <c r="J57" s="1103"/>
      <c r="K57" s="1103"/>
      <c r="L57" s="1103"/>
      <c r="M57" s="1103"/>
      <c r="N57" s="1104"/>
      <c r="O57" s="213"/>
      <c r="P57" s="213"/>
      <c r="Q57" s="1102">
        <f>'Eingabe-Beschrieb'!G102</f>
        <v>0</v>
      </c>
      <c r="R57" s="1103"/>
      <c r="S57" s="1103"/>
      <c r="T57" s="1103"/>
      <c r="U57" s="1103"/>
      <c r="V57" s="1103"/>
      <c r="W57" s="1103"/>
      <c r="X57" s="1104"/>
      <c r="Y57" s="268"/>
      <c r="Z57" s="1102">
        <f>'Eingabe-Beschrieb'!G120</f>
        <v>0</v>
      </c>
      <c r="AA57" s="1103"/>
      <c r="AB57" s="1103"/>
      <c r="AC57" s="1103"/>
      <c r="AD57" s="1103"/>
      <c r="AE57" s="1103"/>
      <c r="AF57" s="1103"/>
      <c r="AG57" s="1104"/>
    </row>
    <row r="58" spans="1:33" ht="25.5" customHeight="1" x14ac:dyDescent="0.2">
      <c r="B58" s="106"/>
      <c r="C58" s="219" t="s">
        <v>102</v>
      </c>
      <c r="D58" s="220"/>
      <c r="E58" s="221"/>
      <c r="F58" s="519" t="s">
        <v>99</v>
      </c>
      <c r="G58" s="1102">
        <f>'Eingabe-Beschrieb'!G85</f>
        <v>0</v>
      </c>
      <c r="H58" s="1103"/>
      <c r="I58" s="1103"/>
      <c r="J58" s="1103"/>
      <c r="K58" s="1103"/>
      <c r="L58" s="1103"/>
      <c r="M58" s="1103"/>
      <c r="N58" s="1104"/>
      <c r="O58" s="213"/>
      <c r="P58" s="213"/>
      <c r="Q58" s="1102">
        <f>'Eingabe-Beschrieb'!G103</f>
        <v>0</v>
      </c>
      <c r="R58" s="1103"/>
      <c r="S58" s="1103"/>
      <c r="T58" s="1103"/>
      <c r="U58" s="1103"/>
      <c r="V58" s="1103"/>
      <c r="W58" s="1103"/>
      <c r="X58" s="1104"/>
      <c r="Y58" s="268"/>
      <c r="Z58" s="1102">
        <f>'Eingabe-Beschrieb'!G121</f>
        <v>0</v>
      </c>
      <c r="AA58" s="1103"/>
      <c r="AB58" s="1103"/>
      <c r="AC58" s="1103"/>
      <c r="AD58" s="1103"/>
      <c r="AE58" s="1103"/>
      <c r="AF58" s="1103"/>
      <c r="AG58" s="1104"/>
    </row>
    <row r="59" spans="1:33" ht="25.5" customHeight="1" x14ac:dyDescent="0.2">
      <c r="B59" s="107"/>
      <c r="C59" s="219" t="s">
        <v>103</v>
      </c>
      <c r="D59" s="220"/>
      <c r="E59" s="221"/>
      <c r="F59" s="519" t="s">
        <v>99</v>
      </c>
      <c r="G59" s="1102">
        <f>'Eingabe-Beschrieb'!G86</f>
        <v>0</v>
      </c>
      <c r="H59" s="1103"/>
      <c r="I59" s="1103"/>
      <c r="J59" s="1103"/>
      <c r="K59" s="1103"/>
      <c r="L59" s="1103"/>
      <c r="M59" s="1103"/>
      <c r="N59" s="1104"/>
      <c r="O59" s="213"/>
      <c r="P59" s="213"/>
      <c r="Q59" s="1102">
        <f>'Eingabe-Beschrieb'!G104</f>
        <v>0</v>
      </c>
      <c r="R59" s="1103"/>
      <c r="S59" s="1103"/>
      <c r="T59" s="1103"/>
      <c r="U59" s="1103"/>
      <c r="V59" s="1103"/>
      <c r="W59" s="1103"/>
      <c r="X59" s="1104"/>
      <c r="Y59" s="268"/>
      <c r="Z59" s="1102">
        <f>'Eingabe-Beschrieb'!G122</f>
        <v>0</v>
      </c>
      <c r="AA59" s="1103"/>
      <c r="AB59" s="1103"/>
      <c r="AC59" s="1103"/>
      <c r="AD59" s="1103"/>
      <c r="AE59" s="1103"/>
      <c r="AF59" s="1103"/>
      <c r="AG59" s="1104"/>
    </row>
    <row r="60" spans="1:33" ht="25.5" customHeight="1" x14ac:dyDescent="0.2">
      <c r="B60" s="107"/>
      <c r="C60" s="219" t="s">
        <v>370</v>
      </c>
      <c r="D60" s="220"/>
      <c r="E60" s="221"/>
      <c r="F60" s="519" t="s">
        <v>99</v>
      </c>
      <c r="G60" s="1102">
        <f>'Eingabe-Beschrieb'!G87</f>
        <v>0</v>
      </c>
      <c r="H60" s="1103"/>
      <c r="I60" s="1103"/>
      <c r="J60" s="1103"/>
      <c r="K60" s="1103"/>
      <c r="L60" s="1103"/>
      <c r="M60" s="1103"/>
      <c r="N60" s="1104"/>
      <c r="O60" s="213"/>
      <c r="P60" s="213"/>
      <c r="Q60" s="1102">
        <f>'Eingabe-Beschrieb'!G105</f>
        <v>0</v>
      </c>
      <c r="R60" s="1103"/>
      <c r="S60" s="1103"/>
      <c r="T60" s="1103"/>
      <c r="U60" s="1103"/>
      <c r="V60" s="1103"/>
      <c r="W60" s="1103"/>
      <c r="X60" s="1104"/>
      <c r="Y60" s="268"/>
      <c r="Z60" s="1102">
        <f>'Eingabe-Beschrieb'!G123</f>
        <v>0</v>
      </c>
      <c r="AA60" s="1103"/>
      <c r="AB60" s="1103"/>
      <c r="AC60" s="1103"/>
      <c r="AD60" s="1103"/>
      <c r="AE60" s="1103"/>
      <c r="AF60" s="1103"/>
      <c r="AG60" s="1104"/>
    </row>
    <row r="61" spans="1:33" ht="25.5" customHeight="1" x14ac:dyDescent="0.2">
      <c r="B61" s="107"/>
      <c r="C61" s="219" t="s">
        <v>186</v>
      </c>
      <c r="D61" s="220"/>
      <c r="E61" s="221"/>
      <c r="F61" s="519" t="s">
        <v>99</v>
      </c>
      <c r="G61" s="1102">
        <f>'Eingabe-Beschrieb'!G88</f>
        <v>0</v>
      </c>
      <c r="H61" s="1103"/>
      <c r="I61" s="1103"/>
      <c r="J61" s="1103"/>
      <c r="K61" s="1103"/>
      <c r="L61" s="1103"/>
      <c r="M61" s="1103"/>
      <c r="N61" s="1104"/>
      <c r="O61" s="213"/>
      <c r="P61" s="213"/>
      <c r="Q61" s="1102">
        <f>'Eingabe-Beschrieb'!G106</f>
        <v>0</v>
      </c>
      <c r="R61" s="1103"/>
      <c r="S61" s="1103"/>
      <c r="T61" s="1103"/>
      <c r="U61" s="1103"/>
      <c r="V61" s="1103"/>
      <c r="W61" s="1103"/>
      <c r="X61" s="1104"/>
      <c r="Y61" s="268"/>
      <c r="Z61" s="1102">
        <f>'Eingabe-Beschrieb'!G124</f>
        <v>0</v>
      </c>
      <c r="AA61" s="1103"/>
      <c r="AB61" s="1103"/>
      <c r="AC61" s="1103"/>
      <c r="AD61" s="1103"/>
      <c r="AE61" s="1103"/>
      <c r="AF61" s="1103"/>
      <c r="AG61" s="1104"/>
    </row>
    <row r="62" spans="1:33" ht="25.5" customHeight="1" x14ac:dyDescent="0.2">
      <c r="B62" s="107"/>
      <c r="C62" s="219" t="s">
        <v>187</v>
      </c>
      <c r="D62" s="220"/>
      <c r="E62" s="221"/>
      <c r="F62" s="519" t="s">
        <v>99</v>
      </c>
      <c r="G62" s="1102">
        <f>'Eingabe-Beschrieb'!G89</f>
        <v>0</v>
      </c>
      <c r="H62" s="1103"/>
      <c r="I62" s="1103"/>
      <c r="J62" s="1103"/>
      <c r="K62" s="1103"/>
      <c r="L62" s="1103"/>
      <c r="M62" s="1103"/>
      <c r="N62" s="1104"/>
      <c r="O62" s="213"/>
      <c r="P62" s="213"/>
      <c r="Q62" s="1102">
        <f>'Eingabe-Beschrieb'!G107</f>
        <v>0</v>
      </c>
      <c r="R62" s="1103"/>
      <c r="S62" s="1103"/>
      <c r="T62" s="1103"/>
      <c r="U62" s="1103"/>
      <c r="V62" s="1103"/>
      <c r="W62" s="1103"/>
      <c r="X62" s="1104"/>
      <c r="Y62" s="268"/>
      <c r="Z62" s="1102">
        <f>'Eingabe-Beschrieb'!G125</f>
        <v>0</v>
      </c>
      <c r="AA62" s="1103"/>
      <c r="AB62" s="1103"/>
      <c r="AC62" s="1103"/>
      <c r="AD62" s="1103"/>
      <c r="AE62" s="1103"/>
      <c r="AF62" s="1103"/>
      <c r="AG62" s="1104"/>
    </row>
    <row r="63" spans="1:33" ht="25.5" customHeight="1" x14ac:dyDescent="0.2">
      <c r="B63" s="107"/>
      <c r="C63" s="219" t="s">
        <v>188</v>
      </c>
      <c r="D63" s="220"/>
      <c r="E63" s="221"/>
      <c r="F63" s="519" t="s">
        <v>99</v>
      </c>
      <c r="G63" s="1102">
        <f>'Eingabe-Beschrieb'!G90</f>
        <v>0</v>
      </c>
      <c r="H63" s="1103"/>
      <c r="I63" s="1103"/>
      <c r="J63" s="1103"/>
      <c r="K63" s="1103"/>
      <c r="L63" s="1103"/>
      <c r="M63" s="1103"/>
      <c r="N63" s="1104"/>
      <c r="O63" s="213"/>
      <c r="P63" s="213"/>
      <c r="Q63" s="1102">
        <f>'Eingabe-Beschrieb'!G108</f>
        <v>0</v>
      </c>
      <c r="R63" s="1103"/>
      <c r="S63" s="1103"/>
      <c r="T63" s="1103"/>
      <c r="U63" s="1103"/>
      <c r="V63" s="1103"/>
      <c r="W63" s="1103"/>
      <c r="X63" s="1104"/>
      <c r="Y63" s="268"/>
      <c r="Z63" s="1102">
        <f>'Eingabe-Beschrieb'!G126</f>
        <v>0</v>
      </c>
      <c r="AA63" s="1103"/>
      <c r="AB63" s="1103"/>
      <c r="AC63" s="1103"/>
      <c r="AD63" s="1103"/>
      <c r="AE63" s="1103"/>
      <c r="AF63" s="1103"/>
      <c r="AG63" s="1104"/>
    </row>
    <row r="64" spans="1:33" ht="25.5" customHeight="1" x14ac:dyDescent="0.2">
      <c r="B64" s="107"/>
      <c r="C64" s="219" t="s">
        <v>410</v>
      </c>
      <c r="D64" s="220"/>
      <c r="E64" s="221"/>
      <c r="F64" s="519" t="s">
        <v>99</v>
      </c>
      <c r="G64" s="1102">
        <f>'Eingabe-Beschrieb'!G91</f>
        <v>0</v>
      </c>
      <c r="H64" s="1103"/>
      <c r="I64" s="1103"/>
      <c r="J64" s="1103"/>
      <c r="K64" s="1103"/>
      <c r="L64" s="1103"/>
      <c r="M64" s="1103"/>
      <c r="N64" s="1104"/>
      <c r="O64" s="213"/>
      <c r="P64" s="213"/>
      <c r="Q64" s="1102">
        <f>'Eingabe-Beschrieb'!G109</f>
        <v>0</v>
      </c>
      <c r="R64" s="1103"/>
      <c r="S64" s="1103"/>
      <c r="T64" s="1103"/>
      <c r="U64" s="1103"/>
      <c r="V64" s="1103"/>
      <c r="W64" s="1103"/>
      <c r="X64" s="1104"/>
      <c r="Y64" s="268"/>
      <c r="Z64" s="1102">
        <f>'Eingabe-Beschrieb'!G127</f>
        <v>0</v>
      </c>
      <c r="AA64" s="1103"/>
      <c r="AB64" s="1103"/>
      <c r="AC64" s="1103"/>
      <c r="AD64" s="1103"/>
      <c r="AE64" s="1103"/>
      <c r="AF64" s="1103"/>
      <c r="AG64" s="1104"/>
    </row>
    <row r="65" spans="2:33" ht="25.5" customHeight="1" x14ac:dyDescent="0.2">
      <c r="B65" s="107"/>
      <c r="C65" s="219" t="s">
        <v>189</v>
      </c>
      <c r="D65" s="220"/>
      <c r="E65" s="221"/>
      <c r="F65" s="519" t="s">
        <v>99</v>
      </c>
      <c r="G65" s="1102">
        <f>'Eingabe-Beschrieb'!G92</f>
        <v>0</v>
      </c>
      <c r="H65" s="1103"/>
      <c r="I65" s="1103"/>
      <c r="J65" s="1103"/>
      <c r="K65" s="1103"/>
      <c r="L65" s="1103"/>
      <c r="M65" s="1103"/>
      <c r="N65" s="1104"/>
      <c r="O65" s="213"/>
      <c r="P65" s="213"/>
      <c r="Q65" s="1102">
        <f>'Eingabe-Beschrieb'!G110</f>
        <v>0</v>
      </c>
      <c r="R65" s="1103"/>
      <c r="S65" s="1103"/>
      <c r="T65" s="1103"/>
      <c r="U65" s="1103"/>
      <c r="V65" s="1103"/>
      <c r="W65" s="1103"/>
      <c r="X65" s="1104"/>
      <c r="Y65" s="268"/>
      <c r="Z65" s="1102">
        <f>'Eingabe-Beschrieb'!G128</f>
        <v>0</v>
      </c>
      <c r="AA65" s="1103"/>
      <c r="AB65" s="1103"/>
      <c r="AC65" s="1103"/>
      <c r="AD65" s="1103"/>
      <c r="AE65" s="1103"/>
      <c r="AF65" s="1103"/>
      <c r="AG65" s="1104"/>
    </row>
    <row r="66" spans="2:33" ht="25.5" customHeight="1" x14ac:dyDescent="0.2">
      <c r="B66" s="107"/>
      <c r="C66" s="219" t="s">
        <v>104</v>
      </c>
      <c r="D66" s="220"/>
      <c r="E66" s="221"/>
      <c r="F66" s="519" t="s">
        <v>99</v>
      </c>
      <c r="G66" s="1102">
        <f>'Eingabe-Beschrieb'!G93</f>
        <v>0</v>
      </c>
      <c r="H66" s="1103"/>
      <c r="I66" s="1103"/>
      <c r="J66" s="1103"/>
      <c r="K66" s="1103"/>
      <c r="L66" s="1103"/>
      <c r="M66" s="1103"/>
      <c r="N66" s="1104"/>
      <c r="O66" s="213"/>
      <c r="P66" s="213"/>
      <c r="Q66" s="1102">
        <f>'Eingabe-Beschrieb'!G111</f>
        <v>0</v>
      </c>
      <c r="R66" s="1103"/>
      <c r="S66" s="1103"/>
      <c r="T66" s="1103"/>
      <c r="U66" s="1103"/>
      <c r="V66" s="1103"/>
      <c r="W66" s="1103"/>
      <c r="X66" s="1104"/>
      <c r="Y66" s="268"/>
      <c r="Z66" s="1102">
        <f>'Eingabe-Beschrieb'!G129</f>
        <v>0</v>
      </c>
      <c r="AA66" s="1103"/>
      <c r="AB66" s="1103"/>
      <c r="AC66" s="1103"/>
      <c r="AD66" s="1103"/>
      <c r="AE66" s="1103"/>
      <c r="AF66" s="1103"/>
      <c r="AG66" s="1104"/>
    </row>
    <row r="67" spans="2:33" ht="25.5" customHeight="1" x14ac:dyDescent="0.2">
      <c r="B67" s="107"/>
      <c r="C67" s="219" t="s">
        <v>105</v>
      </c>
      <c r="D67" s="220"/>
      <c r="E67" s="221"/>
      <c r="F67" s="519" t="s">
        <v>99</v>
      </c>
      <c r="G67" s="1102">
        <f>'Eingabe-Beschrieb'!G94</f>
        <v>0</v>
      </c>
      <c r="H67" s="1103"/>
      <c r="I67" s="1103"/>
      <c r="J67" s="1103"/>
      <c r="K67" s="1103"/>
      <c r="L67" s="1103"/>
      <c r="M67" s="1103"/>
      <c r="N67" s="1104"/>
      <c r="O67" s="213"/>
      <c r="P67" s="213"/>
      <c r="Q67" s="1102">
        <f>'Eingabe-Beschrieb'!G112</f>
        <v>0</v>
      </c>
      <c r="R67" s="1103"/>
      <c r="S67" s="1103"/>
      <c r="T67" s="1103"/>
      <c r="U67" s="1103"/>
      <c r="V67" s="1103"/>
      <c r="W67" s="1103"/>
      <c r="X67" s="1104"/>
      <c r="Y67" s="268"/>
      <c r="Z67" s="1102">
        <f>'Eingabe-Beschrieb'!G130</f>
        <v>0</v>
      </c>
      <c r="AA67" s="1103"/>
      <c r="AB67" s="1103"/>
      <c r="AC67" s="1103"/>
      <c r="AD67" s="1103"/>
      <c r="AE67" s="1103"/>
      <c r="AF67" s="1103"/>
      <c r="AG67" s="1104"/>
    </row>
    <row r="68" spans="2:33" ht="25.5" customHeight="1" x14ac:dyDescent="0.2">
      <c r="B68" s="106"/>
      <c r="C68" s="219" t="s">
        <v>106</v>
      </c>
      <c r="D68" s="220"/>
      <c r="E68" s="221"/>
      <c r="F68" s="519" t="s">
        <v>99</v>
      </c>
      <c r="G68" s="1102">
        <f>'Eingabe-Beschrieb'!G95</f>
        <v>0</v>
      </c>
      <c r="H68" s="1103"/>
      <c r="I68" s="1103"/>
      <c r="J68" s="1103"/>
      <c r="K68" s="1103"/>
      <c r="L68" s="1103"/>
      <c r="M68" s="1103"/>
      <c r="N68" s="1104"/>
      <c r="O68" s="213"/>
      <c r="P68" s="213"/>
      <c r="Q68" s="1102">
        <f>'Eingabe-Beschrieb'!G113</f>
        <v>0</v>
      </c>
      <c r="R68" s="1103"/>
      <c r="S68" s="1103"/>
      <c r="T68" s="1103"/>
      <c r="U68" s="1103"/>
      <c r="V68" s="1103"/>
      <c r="W68" s="1103"/>
      <c r="X68" s="1104"/>
      <c r="Y68" s="268"/>
      <c r="Z68" s="1102">
        <f>'Eingabe-Beschrieb'!G131</f>
        <v>0</v>
      </c>
      <c r="AA68" s="1103"/>
      <c r="AB68" s="1103"/>
      <c r="AC68" s="1103"/>
      <c r="AD68" s="1103"/>
      <c r="AE68" s="1103"/>
      <c r="AF68" s="1103"/>
      <c r="AG68" s="1104"/>
    </row>
    <row r="69" spans="2:33" ht="25.5" customHeight="1" x14ac:dyDescent="0.2">
      <c r="B69" s="222"/>
      <c r="C69" s="223" t="s">
        <v>107</v>
      </c>
      <c r="D69" s="224"/>
      <c r="E69" s="225"/>
      <c r="F69" s="520" t="s">
        <v>99</v>
      </c>
      <c r="G69" s="1105">
        <f>'Eingabe-Beschrieb'!G96</f>
        <v>0</v>
      </c>
      <c r="H69" s="1106"/>
      <c r="I69" s="1106"/>
      <c r="J69" s="1106"/>
      <c r="K69" s="1106"/>
      <c r="L69" s="1106"/>
      <c r="M69" s="1106"/>
      <c r="N69" s="1107"/>
      <c r="O69" s="213"/>
      <c r="P69" s="213"/>
      <c r="Q69" s="1105">
        <f>'Eingabe-Beschrieb'!G114</f>
        <v>0</v>
      </c>
      <c r="R69" s="1106"/>
      <c r="S69" s="1106"/>
      <c r="T69" s="1106"/>
      <c r="U69" s="1106"/>
      <c r="V69" s="1106"/>
      <c r="W69" s="1106"/>
      <c r="X69" s="1107"/>
      <c r="Y69" s="852"/>
      <c r="Z69" s="1105">
        <f>'Eingabe-Beschrieb'!G132</f>
        <v>0</v>
      </c>
      <c r="AA69" s="1106"/>
      <c r="AB69" s="1106"/>
      <c r="AC69" s="1106"/>
      <c r="AD69" s="1106"/>
      <c r="AE69" s="1106"/>
      <c r="AF69" s="1106"/>
      <c r="AG69" s="1107"/>
    </row>
    <row r="70" spans="2:33" ht="6" customHeight="1" x14ac:dyDescent="0.2"/>
  </sheetData>
  <sheetProtection selectLockedCells="1"/>
  <customSheetViews>
    <customSheetView guid="{1B6E5C62-D61A-47DD-A4A2-485ADD59D1CD}" topLeftCell="D36">
      <selection activeCell="G51" sqref="G51:N51"/>
      <pageMargins left="0.7" right="0.7" top="0.78740157499999996" bottom="0.78740157499999996" header="0.3" footer="0.3"/>
    </customSheetView>
    <customSheetView guid="{1E00AB2B-C042-4EFC-A145-7C4B4752408A}" showFormulas="1" topLeftCell="D36">
      <selection activeCell="G69" sqref="G69"/>
      <pageMargins left="0.7" right="0.7" top="0.78740157499999996" bottom="0.78740157499999996" header="0.3" footer="0.3"/>
    </customSheetView>
  </customSheetViews>
  <mergeCells count="97">
    <mergeCell ref="G3:N3"/>
    <mergeCell ref="Q3:X3"/>
    <mergeCell ref="Z3:AG3"/>
    <mergeCell ref="B4:D4"/>
    <mergeCell ref="E4:F4"/>
    <mergeCell ref="G4:N4"/>
    <mergeCell ref="Q4:X4"/>
    <mergeCell ref="Z4:AG4"/>
    <mergeCell ref="B5:D5"/>
    <mergeCell ref="E5:F5"/>
    <mergeCell ref="G5:N5"/>
    <mergeCell ref="Q5:X5"/>
    <mergeCell ref="Z5:AG5"/>
    <mergeCell ref="B6:D6"/>
    <mergeCell ref="E6:F6"/>
    <mergeCell ref="G6:N6"/>
    <mergeCell ref="Q6:X6"/>
    <mergeCell ref="Z6:AG6"/>
    <mergeCell ref="Z7:AG7"/>
    <mergeCell ref="B8:D8"/>
    <mergeCell ref="E8:F8"/>
    <mergeCell ref="G8:N8"/>
    <mergeCell ref="Q8:X8"/>
    <mergeCell ref="Z8:AG8"/>
    <mergeCell ref="C31:D31"/>
    <mergeCell ref="B7:D7"/>
    <mergeCell ref="E7:F7"/>
    <mergeCell ref="G7:N7"/>
    <mergeCell ref="Q7:X7"/>
    <mergeCell ref="B9:D9"/>
    <mergeCell ref="E9:F9"/>
    <mergeCell ref="G9:N9"/>
    <mergeCell ref="Q9:X9"/>
    <mergeCell ref="Z9:AG9"/>
    <mergeCell ref="G48:N48"/>
    <mergeCell ref="Q48:X48"/>
    <mergeCell ref="Z48:AG48"/>
    <mergeCell ref="G49:N49"/>
    <mergeCell ref="Q49:X49"/>
    <mergeCell ref="Z49:AG49"/>
    <mergeCell ref="G50:N50"/>
    <mergeCell ref="Q50:X50"/>
    <mergeCell ref="Z50:AG50"/>
    <mergeCell ref="G51:N51"/>
    <mergeCell ref="Q51:X51"/>
    <mergeCell ref="Z51:AG51"/>
    <mergeCell ref="Z57:AG57"/>
    <mergeCell ref="Z58:AG58"/>
    <mergeCell ref="G52:N52"/>
    <mergeCell ref="Q52:X52"/>
    <mergeCell ref="Z52:AG52"/>
    <mergeCell ref="G53:N53"/>
    <mergeCell ref="Q53:X53"/>
    <mergeCell ref="Z53:AG53"/>
    <mergeCell ref="G55:N55"/>
    <mergeCell ref="Z55:AG55"/>
    <mergeCell ref="G56:N56"/>
    <mergeCell ref="Z56:AG56"/>
    <mergeCell ref="Q55:X55"/>
    <mergeCell ref="Q56:X56"/>
    <mergeCell ref="Q57:X57"/>
    <mergeCell ref="Q58:X58"/>
    <mergeCell ref="G61:N61"/>
    <mergeCell ref="G62:N62"/>
    <mergeCell ref="G59:N59"/>
    <mergeCell ref="G60:N60"/>
    <mergeCell ref="G57:N57"/>
    <mergeCell ref="G58:N58"/>
    <mergeCell ref="Z64:AG64"/>
    <mergeCell ref="Q62:X62"/>
    <mergeCell ref="Q63:X63"/>
    <mergeCell ref="Q64:X64"/>
    <mergeCell ref="G69:N69"/>
    <mergeCell ref="G67:N67"/>
    <mergeCell ref="G68:N68"/>
    <mergeCell ref="G65:N65"/>
    <mergeCell ref="G66:N66"/>
    <mergeCell ref="G63:N63"/>
    <mergeCell ref="G64:N64"/>
    <mergeCell ref="Z62:AG62"/>
    <mergeCell ref="Z63:AG63"/>
    <mergeCell ref="Q59:X59"/>
    <mergeCell ref="Q60:X60"/>
    <mergeCell ref="Z68:AG68"/>
    <mergeCell ref="Z69:AG69"/>
    <mergeCell ref="Q68:X68"/>
    <mergeCell ref="Q69:X69"/>
    <mergeCell ref="Z59:AG59"/>
    <mergeCell ref="Z60:AG60"/>
    <mergeCell ref="Z61:AG61"/>
    <mergeCell ref="Z66:AG66"/>
    <mergeCell ref="Z67:AG67"/>
    <mergeCell ref="Q65:X65"/>
    <mergeCell ref="Q66:X66"/>
    <mergeCell ref="Z65:AG65"/>
    <mergeCell ref="Q67:X67"/>
    <mergeCell ref="Q61:X61"/>
  </mergeCells>
  <pageMargins left="0.51181102362204722" right="0.31496062992125984" top="0.59055118110236227" bottom="0.39370078740157483" header="0.31496062992125984" footer="0.31496062992125984"/>
  <pageSetup paperSize="9" orientation="landscape" r:id="rId1"/>
  <rowBreaks count="1" manualBreakCount="1">
    <brk id="44" max="16383" man="1"/>
  </rowBreaks>
  <colBreaks count="1" manualBreakCount="1">
    <brk id="15" max="69"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3" tint="0.59999389629810485"/>
    <pageSetUpPr fitToPage="1"/>
  </sheetPr>
  <dimension ref="A1:W112"/>
  <sheetViews>
    <sheetView tabSelected="1" zoomScaleNormal="100" workbookViewId="0">
      <selection activeCell="P15" sqref="P15"/>
    </sheetView>
  </sheetViews>
  <sheetFormatPr baseColWidth="10" defaultColWidth="11.42578125" defaultRowHeight="12" x14ac:dyDescent="0.2"/>
  <cols>
    <col min="1" max="1" width="1.7109375" style="1" customWidth="1"/>
    <col min="2" max="2" width="3.85546875" style="2" customWidth="1"/>
    <col min="3" max="3" width="34.42578125" style="2" customWidth="1"/>
    <col min="4" max="4" width="6.42578125" style="2" customWidth="1"/>
    <col min="5" max="5" width="4.42578125" style="2" bestFit="1" customWidth="1"/>
    <col min="6" max="6" width="10.7109375" style="2" bestFit="1" customWidth="1"/>
    <col min="7" max="7" width="6" style="2" customWidth="1"/>
    <col min="8" max="12" width="9.42578125" style="2" customWidth="1"/>
    <col min="13" max="13" width="2.7109375" style="323" customWidth="1"/>
    <col min="14" max="14" width="11.42578125" style="323"/>
    <col min="15" max="15" width="27" style="2" hidden="1" customWidth="1"/>
    <col min="16" max="23" width="11.42578125" style="323"/>
    <col min="24" max="16384" width="11.42578125" style="2"/>
  </cols>
  <sheetData>
    <row r="1" spans="2:15" x14ac:dyDescent="0.2">
      <c r="B1" s="1" t="s">
        <v>628</v>
      </c>
      <c r="L1" s="267" t="str">
        <f>Eingabe!B2</f>
        <v>Vorlage 11 (09.08.2022)</v>
      </c>
    </row>
    <row r="2" spans="2:15" ht="11.25" customHeight="1" x14ac:dyDescent="0.2">
      <c r="B2" s="3" t="s">
        <v>332</v>
      </c>
    </row>
    <row r="3" spans="2:15" ht="11.25" customHeight="1" x14ac:dyDescent="0.2"/>
    <row r="4" spans="2:15" ht="11.25" customHeight="1" x14ac:dyDescent="0.2">
      <c r="B4" s="324" t="s">
        <v>368</v>
      </c>
      <c r="C4" s="324"/>
      <c r="D4" s="1202"/>
      <c r="E4" s="1203"/>
      <c r="F4" s="1204"/>
      <c r="G4" s="1204"/>
      <c r="H4" s="1204"/>
      <c r="I4" s="1204"/>
      <c r="J4" s="1204"/>
      <c r="K4" s="1204"/>
      <c r="L4" s="1205"/>
    </row>
    <row r="5" spans="2:15" ht="11.25" customHeight="1" x14ac:dyDescent="0.2">
      <c r="B5" s="324" t="s">
        <v>369</v>
      </c>
      <c r="C5" s="324"/>
      <c r="D5" s="1206"/>
      <c r="E5" s="1204"/>
      <c r="F5" s="1204"/>
      <c r="G5" s="1204"/>
      <c r="H5" s="1204"/>
      <c r="I5" s="1204"/>
      <c r="J5" s="1204"/>
      <c r="K5" s="1204"/>
      <c r="L5" s="1205"/>
    </row>
    <row r="6" spans="2:15" ht="11.25" customHeight="1" x14ac:dyDescent="0.2">
      <c r="B6" s="324" t="s">
        <v>227</v>
      </c>
      <c r="C6" s="324"/>
      <c r="D6" s="1206"/>
      <c r="E6" s="1204"/>
      <c r="F6" s="1204"/>
      <c r="G6" s="1204"/>
      <c r="H6" s="1204"/>
      <c r="I6" s="1204"/>
      <c r="J6" s="1204"/>
      <c r="K6" s="1204"/>
      <c r="L6" s="1205"/>
    </row>
    <row r="7" spans="2:15" ht="11.25" customHeight="1" x14ac:dyDescent="0.2">
      <c r="B7" s="324" t="s">
        <v>68</v>
      </c>
      <c r="C7" s="324"/>
      <c r="D7" s="1206"/>
      <c r="E7" s="1204"/>
      <c r="F7" s="1204"/>
      <c r="G7" s="1204"/>
      <c r="H7" s="1204"/>
      <c r="I7" s="1204"/>
      <c r="J7" s="1204"/>
      <c r="K7" s="1204"/>
      <c r="L7" s="1205"/>
    </row>
    <row r="8" spans="2:15" ht="11.25" customHeight="1" x14ac:dyDescent="0.2">
      <c r="B8" s="324" t="s">
        <v>114</v>
      </c>
      <c r="C8" s="324"/>
      <c r="D8" s="1206"/>
      <c r="E8" s="1204"/>
      <c r="F8" s="1204"/>
      <c r="G8" s="1204"/>
      <c r="H8" s="1204"/>
      <c r="I8" s="1204"/>
      <c r="J8" s="1204"/>
      <c r="K8" s="1204"/>
      <c r="L8" s="1204"/>
    </row>
    <row r="9" spans="2:15" ht="41.25" customHeight="1" x14ac:dyDescent="0.2">
      <c r="B9" s="810" t="s">
        <v>346</v>
      </c>
      <c r="C9" s="810"/>
      <c r="D9" s="1196"/>
      <c r="E9" s="1197"/>
      <c r="F9" s="1197"/>
      <c r="G9" s="1197"/>
      <c r="H9" s="1197"/>
      <c r="I9" s="1197"/>
      <c r="J9" s="1197"/>
      <c r="K9" s="1197"/>
      <c r="L9" s="1207"/>
    </row>
    <row r="10" spans="2:15" ht="7.5" customHeight="1" x14ac:dyDescent="0.2"/>
    <row r="11" spans="2:15" ht="11.25" customHeight="1" x14ac:dyDescent="0.2">
      <c r="B11" s="324" t="s">
        <v>229</v>
      </c>
      <c r="C11" s="324"/>
      <c r="D11" s="325" t="s">
        <v>230</v>
      </c>
      <c r="E11" s="409"/>
      <c r="F11" s="1209"/>
      <c r="G11" s="409" t="s">
        <v>231</v>
      </c>
      <c r="H11" s="409"/>
      <c r="I11" s="409"/>
      <c r="J11" s="409" t="s">
        <v>232</v>
      </c>
      <c r="K11" s="326" t="s">
        <v>233</v>
      </c>
      <c r="L11" s="1208"/>
    </row>
    <row r="12" spans="2:15" ht="11.25" customHeight="1" x14ac:dyDescent="0.2">
      <c r="B12" s="324" t="s">
        <v>554</v>
      </c>
      <c r="C12" s="324"/>
      <c r="D12" s="325" t="s">
        <v>230</v>
      </c>
      <c r="E12" s="409"/>
      <c r="F12" s="1209"/>
      <c r="G12" s="409"/>
      <c r="H12" s="409"/>
      <c r="I12" s="409"/>
      <c r="J12" s="409"/>
      <c r="K12" s="328" t="s">
        <v>234</v>
      </c>
      <c r="L12" s="1208"/>
    </row>
    <row r="13" spans="2:15" ht="11.25" customHeight="1" x14ac:dyDescent="0.2">
      <c r="B13" s="329"/>
      <c r="C13" s="329"/>
      <c r="D13" s="329" t="s">
        <v>347</v>
      </c>
      <c r="E13" s="330"/>
      <c r="F13" s="331"/>
      <c r="G13" s="330"/>
      <c r="H13" s="330"/>
      <c r="I13" s="332"/>
      <c r="J13" s="325" t="s">
        <v>233</v>
      </c>
      <c r="K13" s="1176"/>
      <c r="L13" s="1177"/>
      <c r="O13" s="2" t="str">
        <f>"2000 / "&amp;B8_04_INDEX2000</f>
        <v>2000 / 105.1</v>
      </c>
    </row>
    <row r="14" spans="2:15" ht="7.5" customHeight="1" x14ac:dyDescent="0.2">
      <c r="D14" s="268"/>
      <c r="E14" s="268"/>
      <c r="F14" s="268"/>
      <c r="G14" s="268"/>
      <c r="H14" s="268"/>
      <c r="I14" s="268"/>
      <c r="J14" s="268"/>
      <c r="O14" s="2" t="str">
        <f>"2001 / "&amp;B8_04_INDEX2001</f>
        <v>2001 / 110.1</v>
      </c>
    </row>
    <row r="15" spans="2:15" ht="11.25" customHeight="1" x14ac:dyDescent="0.2">
      <c r="C15" s="3" t="s">
        <v>235</v>
      </c>
      <c r="O15" s="2" t="str">
        <f>"2002 / "&amp;B8_04_INDEX2002</f>
        <v>2002 / 110</v>
      </c>
    </row>
    <row r="16" spans="2:15" ht="11.25" customHeight="1" x14ac:dyDescent="0.2">
      <c r="B16" s="4" t="s">
        <v>0</v>
      </c>
      <c r="C16" s="4" t="s">
        <v>1</v>
      </c>
      <c r="D16" s="4"/>
      <c r="E16" s="4" t="s">
        <v>2</v>
      </c>
      <c r="F16" s="4" t="s">
        <v>3</v>
      </c>
      <c r="G16" s="4"/>
      <c r="H16" s="5" t="s">
        <v>0</v>
      </c>
      <c r="I16" s="28"/>
      <c r="J16" s="28"/>
      <c r="K16" s="28"/>
      <c r="L16" s="4" t="s">
        <v>236</v>
      </c>
      <c r="O16" s="2" t="str">
        <f>"2003 / "&amp;B8_04_INDEX2003</f>
        <v>2003 / 106.6</v>
      </c>
    </row>
    <row r="17" spans="2:15" ht="11.25" customHeight="1" x14ac:dyDescent="0.2">
      <c r="B17" s="4"/>
      <c r="C17" s="5" t="s">
        <v>35</v>
      </c>
      <c r="D17" s="4" t="s">
        <v>574</v>
      </c>
      <c r="E17" s="4" t="s">
        <v>4</v>
      </c>
      <c r="F17" s="1188"/>
      <c r="G17" s="4"/>
      <c r="H17" s="968"/>
      <c r="I17" s="957"/>
      <c r="J17" s="957"/>
      <c r="K17" s="28" t="s">
        <v>577</v>
      </c>
      <c r="L17" s="269" t="e">
        <f>+F$21/F17</f>
        <v>#DIV/0!</v>
      </c>
      <c r="O17" s="2" t="str">
        <f>"2004 / "&amp;B8_04_INDEX2004</f>
        <v>2004 / 107.6</v>
      </c>
    </row>
    <row r="18" spans="2:15" ht="11.25" customHeight="1" x14ac:dyDescent="0.2">
      <c r="B18" s="4"/>
      <c r="C18" s="145" t="s">
        <v>672</v>
      </c>
      <c r="D18" s="24" t="s">
        <v>671</v>
      </c>
      <c r="E18" s="24" t="s">
        <v>7</v>
      </c>
      <c r="F18" s="1189"/>
      <c r="G18" s="415" t="s">
        <v>575</v>
      </c>
      <c r="H18" s="515">
        <f>B8_04_7FUE2</f>
        <v>0</v>
      </c>
      <c r="I18" s="415" t="s">
        <v>634</v>
      </c>
      <c r="J18" s="515">
        <f>B8_04_7FUE3</f>
        <v>0</v>
      </c>
      <c r="K18" s="415" t="s">
        <v>635</v>
      </c>
      <c r="L18" s="529">
        <f>B8_04_7FUE4</f>
        <v>0</v>
      </c>
      <c r="O18" s="2" t="str">
        <f>"2005 / "&amp;B8_04_INDEX2005</f>
        <v>2005 / 110.2</v>
      </c>
    </row>
    <row r="19" spans="2:15" ht="11.25" customHeight="1" x14ac:dyDescent="0.2">
      <c r="B19" s="4"/>
      <c r="C19" s="5" t="s">
        <v>387</v>
      </c>
      <c r="D19" s="4" t="s">
        <v>388</v>
      </c>
      <c r="E19" s="4" t="s">
        <v>182</v>
      </c>
      <c r="F19" s="1189"/>
      <c r="G19" s="4"/>
      <c r="H19" s="408"/>
      <c r="I19" s="407"/>
      <c r="J19" s="407"/>
      <c r="K19" s="338" t="s">
        <v>407</v>
      </c>
      <c r="L19" s="269" t="e">
        <f>F23/F19</f>
        <v>#DIV/0!</v>
      </c>
      <c r="O19" s="2" t="str">
        <f>"2006 / "&amp;B8_04_INDEX2006</f>
        <v>2006 / 111.9</v>
      </c>
    </row>
    <row r="20" spans="2:15" ht="11.25" customHeight="1" x14ac:dyDescent="0.2">
      <c r="B20" s="4"/>
      <c r="C20" s="5" t="s">
        <v>237</v>
      </c>
      <c r="D20" s="4" t="s">
        <v>17</v>
      </c>
      <c r="E20" s="4" t="s">
        <v>7</v>
      </c>
      <c r="F20" s="908">
        <f>F87</f>
        <v>0</v>
      </c>
      <c r="G20" s="4"/>
      <c r="H20" s="5" t="s">
        <v>238</v>
      </c>
      <c r="I20" s="28"/>
      <c r="J20" s="28"/>
      <c r="K20" s="28" t="s">
        <v>239</v>
      </c>
      <c r="L20" s="269" t="e">
        <f>+F20/F$21</f>
        <v>#DIV/0!</v>
      </c>
      <c r="O20" s="2" t="str">
        <f>"2007 / "&amp;B8_04_INDEX2007</f>
        <v>2007 / 117</v>
      </c>
    </row>
    <row r="21" spans="2:15" ht="11.25" customHeight="1" x14ac:dyDescent="0.2">
      <c r="B21" s="4"/>
      <c r="C21" s="5" t="s">
        <v>348</v>
      </c>
      <c r="D21" s="4" t="s">
        <v>14</v>
      </c>
      <c r="E21" s="4" t="s">
        <v>7</v>
      </c>
      <c r="F21" s="908">
        <f>F22+F23</f>
        <v>0</v>
      </c>
      <c r="G21" s="4"/>
      <c r="H21" s="5" t="s">
        <v>240</v>
      </c>
      <c r="I21" s="28"/>
      <c r="J21" s="28" t="s">
        <v>241</v>
      </c>
      <c r="K21" s="28"/>
      <c r="L21" s="317" t="e">
        <f>B8_04_7TGEH/B8_04_7GEGB</f>
        <v>#DIV/0!</v>
      </c>
      <c r="O21" s="2" t="str">
        <f>"2008 / "&amp;B8_04_INDEX2008</f>
        <v>2008 / 121.7</v>
      </c>
    </row>
    <row r="22" spans="2:15" ht="11.25" customHeight="1" x14ac:dyDescent="0.2">
      <c r="B22" s="4"/>
      <c r="C22" s="5" t="s">
        <v>349</v>
      </c>
      <c r="D22" s="4" t="s">
        <v>242</v>
      </c>
      <c r="E22" s="4" t="s">
        <v>7</v>
      </c>
      <c r="F22" s="13">
        <f>B8_04_7GEGE</f>
        <v>0</v>
      </c>
      <c r="G22" s="4"/>
      <c r="H22" s="5" t="s">
        <v>240</v>
      </c>
      <c r="I22" s="28"/>
      <c r="J22" s="28" t="s">
        <v>243</v>
      </c>
      <c r="K22" s="28"/>
      <c r="L22" s="317" t="e">
        <f>F22/$F$21</f>
        <v>#DIV/0!</v>
      </c>
      <c r="O22" s="2" t="str">
        <f>"2009 / "&amp;B8_04_INDEX2009</f>
        <v>2009 / 122.2</v>
      </c>
    </row>
    <row r="23" spans="2:15" ht="11.25" customHeight="1" x14ac:dyDescent="0.2">
      <c r="B23" s="4"/>
      <c r="C23" s="5" t="s">
        <v>350</v>
      </c>
      <c r="D23" s="4" t="s">
        <v>244</v>
      </c>
      <c r="E23" s="4" t="s">
        <v>7</v>
      </c>
      <c r="F23" s="13">
        <f>B8_04_7GETI</f>
        <v>0</v>
      </c>
      <c r="G23" s="4"/>
      <c r="H23" s="5" t="s">
        <v>240</v>
      </c>
      <c r="I23" s="28"/>
      <c r="J23" s="28" t="s">
        <v>243</v>
      </c>
      <c r="K23" s="28"/>
      <c r="L23" s="317" t="e">
        <f>F23/$F$22</f>
        <v>#DIV/0!</v>
      </c>
      <c r="O23" s="2" t="str">
        <f>"2010 / "&amp;B8_04_INDEX2010</f>
        <v>2010 / 123.6</v>
      </c>
    </row>
    <row r="24" spans="2:15" ht="11.25" customHeight="1" x14ac:dyDescent="0.2">
      <c r="B24" s="4"/>
      <c r="C24" s="5" t="s">
        <v>10</v>
      </c>
      <c r="D24" s="4" t="s">
        <v>11</v>
      </c>
      <c r="E24" s="4" t="s">
        <v>12</v>
      </c>
      <c r="F24" s="1183"/>
      <c r="G24" s="4"/>
      <c r="H24" s="5" t="s">
        <v>240</v>
      </c>
      <c r="I24" s="28"/>
      <c r="J24" s="28"/>
      <c r="K24" s="28" t="s">
        <v>245</v>
      </c>
      <c r="L24" s="269" t="e">
        <f>+F24/F$21</f>
        <v>#DIV/0!</v>
      </c>
      <c r="O24" s="2" t="str">
        <f>"2011 / "&amp;B8_04_INDEX2011</f>
        <v>2011 / 125.6</v>
      </c>
    </row>
    <row r="25" spans="2:15" ht="11.25" customHeight="1" x14ac:dyDescent="0.2">
      <c r="B25" s="4"/>
      <c r="C25" s="5" t="s">
        <v>5</v>
      </c>
      <c r="D25" s="4" t="s">
        <v>6</v>
      </c>
      <c r="E25" s="4" t="s">
        <v>7</v>
      </c>
      <c r="F25" s="1183"/>
      <c r="G25" s="4"/>
      <c r="H25" s="5" t="s">
        <v>240</v>
      </c>
      <c r="I25" s="28"/>
      <c r="J25" s="28"/>
      <c r="K25" s="28" t="s">
        <v>246</v>
      </c>
      <c r="L25" s="269" t="e">
        <f>+F25/F$21</f>
        <v>#DIV/0!</v>
      </c>
      <c r="O25" s="2" t="str">
        <f>"2012 / "&amp;B8_04_INDEX2012</f>
        <v>2012 / 126.5</v>
      </c>
    </row>
    <row r="26" spans="2:15" ht="11.25" customHeight="1" x14ac:dyDescent="0.2">
      <c r="B26" s="15"/>
      <c r="C26" s="14" t="s">
        <v>247</v>
      </c>
      <c r="D26" s="15" t="s">
        <v>13</v>
      </c>
      <c r="E26" s="15" t="s">
        <v>7</v>
      </c>
      <c r="F26" s="1187"/>
      <c r="G26" s="4"/>
      <c r="H26" s="5" t="s">
        <v>240</v>
      </c>
      <c r="I26" s="28"/>
      <c r="J26" s="28"/>
      <c r="K26" s="28" t="s">
        <v>248</v>
      </c>
      <c r="L26" s="269" t="e">
        <f>+F26/F$21</f>
        <v>#DIV/0!</v>
      </c>
      <c r="O26" s="2" t="str">
        <f>"2013 / "&amp;B8_04_INDEX2013</f>
        <v>2013 / 125.7</v>
      </c>
    </row>
    <row r="27" spans="2:15" ht="11.25" customHeight="1" x14ac:dyDescent="0.2">
      <c r="B27" s="4"/>
      <c r="C27" s="5" t="s">
        <v>249</v>
      </c>
      <c r="D27" s="4" t="s">
        <v>250</v>
      </c>
      <c r="E27" s="4" t="s">
        <v>7</v>
      </c>
      <c r="F27" s="908">
        <f>F25-F26</f>
        <v>0</v>
      </c>
      <c r="G27" s="4"/>
      <c r="H27" s="5" t="s">
        <v>240</v>
      </c>
      <c r="I27" s="28"/>
      <c r="J27" s="28"/>
      <c r="K27" s="28" t="s">
        <v>251</v>
      </c>
      <c r="L27" s="269" t="e">
        <f>F27/$F$21</f>
        <v>#DIV/0!</v>
      </c>
      <c r="O27" s="2" t="str">
        <f>"2014 / "&amp;B8_04_INDEX2014</f>
        <v>2014 / 126.3</v>
      </c>
    </row>
    <row r="28" spans="2:15" ht="11.25" customHeight="1" x14ac:dyDescent="0.2">
      <c r="B28" s="4"/>
      <c r="C28" s="5" t="s">
        <v>8</v>
      </c>
      <c r="D28" s="4" t="s">
        <v>9</v>
      </c>
      <c r="E28" s="4" t="s">
        <v>7</v>
      </c>
      <c r="F28" s="1183"/>
      <c r="G28" s="4"/>
      <c r="H28" s="5" t="s">
        <v>240</v>
      </c>
      <c r="I28" s="28"/>
      <c r="J28" s="28"/>
      <c r="K28" s="28" t="s">
        <v>252</v>
      </c>
      <c r="L28" s="269" t="e">
        <f>+F28/$F$27</f>
        <v>#DIV/0!</v>
      </c>
      <c r="O28" s="2" t="str">
        <f>"2015 / "&amp;B8_04_INDEX2015</f>
        <v>2015 / 124.8</v>
      </c>
    </row>
    <row r="29" spans="2:15" ht="11.25" customHeight="1" x14ac:dyDescent="0.2">
      <c r="B29" s="4"/>
      <c r="C29" s="5" t="s">
        <v>351</v>
      </c>
      <c r="D29" s="4" t="s">
        <v>15</v>
      </c>
      <c r="E29" s="4" t="s">
        <v>7</v>
      </c>
      <c r="F29" s="1183"/>
      <c r="G29" s="4"/>
      <c r="H29" s="5" t="s">
        <v>240</v>
      </c>
      <c r="I29" s="28"/>
      <c r="J29" s="28"/>
      <c r="K29" s="28" t="s">
        <v>253</v>
      </c>
      <c r="L29" s="269" t="e">
        <f t="shared" ref="L29:L38" si="0">+F29/F$21</f>
        <v>#DIV/0!</v>
      </c>
      <c r="O29" s="2" t="str">
        <f>"2016 / "&amp;B8_04_INDEX2016</f>
        <v>2016 / 122.6</v>
      </c>
    </row>
    <row r="30" spans="2:15" ht="11.25" customHeight="1" x14ac:dyDescent="0.2">
      <c r="B30" s="15"/>
      <c r="C30" s="14" t="s">
        <v>394</v>
      </c>
      <c r="D30" s="15" t="s">
        <v>372</v>
      </c>
      <c r="E30" s="15" t="s">
        <v>7</v>
      </c>
      <c r="F30" s="1187"/>
      <c r="G30" s="4"/>
      <c r="H30" s="5" t="s">
        <v>601</v>
      </c>
      <c r="I30" s="28"/>
      <c r="J30" s="28"/>
      <c r="K30" s="28" t="s">
        <v>395</v>
      </c>
      <c r="L30" s="269" t="e">
        <f t="shared" si="0"/>
        <v>#DIV/0!</v>
      </c>
      <c r="O30" s="2" t="str">
        <f>"2017 / "&amp;B8_04_INDEX2017</f>
        <v>2017 / 122.6</v>
      </c>
    </row>
    <row r="31" spans="2:15" ht="11.25" customHeight="1" x14ac:dyDescent="0.2">
      <c r="B31" s="23"/>
      <c r="C31" s="270" t="s">
        <v>36</v>
      </c>
      <c r="D31" s="19" t="s">
        <v>26</v>
      </c>
      <c r="E31" s="19" t="s">
        <v>7</v>
      </c>
      <c r="F31" s="910">
        <f>SUM(F32:F34)</f>
        <v>0</v>
      </c>
      <c r="G31" s="38"/>
      <c r="H31" s="5" t="s">
        <v>601</v>
      </c>
      <c r="I31" s="28"/>
      <c r="J31" s="28"/>
      <c r="K31" s="28" t="s">
        <v>254</v>
      </c>
      <c r="L31" s="269" t="e">
        <f t="shared" si="0"/>
        <v>#DIV/0!</v>
      </c>
      <c r="O31" s="2" t="str">
        <f>"2018 / "&amp;B8_04_INDEX2018</f>
        <v>2018 / 122.9</v>
      </c>
    </row>
    <row r="32" spans="2:15" ht="11.25" customHeight="1" x14ac:dyDescent="0.2">
      <c r="B32" s="20"/>
      <c r="C32" s="271" t="s">
        <v>396</v>
      </c>
      <c r="D32" s="17" t="s">
        <v>374</v>
      </c>
      <c r="E32" s="17" t="s">
        <v>7</v>
      </c>
      <c r="F32" s="1184"/>
      <c r="G32" s="38"/>
      <c r="H32" s="5" t="s">
        <v>601</v>
      </c>
      <c r="I32" s="28"/>
      <c r="J32" s="28"/>
      <c r="K32" s="28" t="s">
        <v>401</v>
      </c>
      <c r="L32" s="269" t="e">
        <f t="shared" si="0"/>
        <v>#DIV/0!</v>
      </c>
      <c r="O32" s="2" t="str">
        <f>"2019 / "&amp;B8_04_INDEX2019</f>
        <v>2019 / 124</v>
      </c>
    </row>
    <row r="33" spans="2:15" ht="11.25" customHeight="1" x14ac:dyDescent="0.2">
      <c r="B33" s="21"/>
      <c r="C33" s="339" t="s">
        <v>397</v>
      </c>
      <c r="D33" s="4" t="s">
        <v>376</v>
      </c>
      <c r="E33" s="4" t="s">
        <v>7</v>
      </c>
      <c r="F33" s="1185"/>
      <c r="G33" s="38"/>
      <c r="H33" s="5" t="s">
        <v>601</v>
      </c>
      <c r="I33" s="28"/>
      <c r="J33" s="28"/>
      <c r="K33" s="28" t="s">
        <v>402</v>
      </c>
      <c r="L33" s="269" t="e">
        <f t="shared" si="0"/>
        <v>#DIV/0!</v>
      </c>
      <c r="O33" s="2" t="str">
        <f>"2020 / "&amp;B8_04_INDEX2020</f>
        <v>2020 / 123.9</v>
      </c>
    </row>
    <row r="34" spans="2:15" ht="11.25" customHeight="1" x14ac:dyDescent="0.2">
      <c r="B34" s="22"/>
      <c r="C34" s="272" t="s">
        <v>398</v>
      </c>
      <c r="D34" s="18" t="s">
        <v>378</v>
      </c>
      <c r="E34" s="18" t="s">
        <v>7</v>
      </c>
      <c r="F34" s="1186"/>
      <c r="G34" s="38"/>
      <c r="H34" s="5" t="s">
        <v>409</v>
      </c>
      <c r="I34" s="28"/>
      <c r="J34" s="273" t="e">
        <f>F34/(F34+F33)</f>
        <v>#DIV/0!</v>
      </c>
      <c r="K34" s="274" t="s">
        <v>400</v>
      </c>
      <c r="L34" s="269" t="e">
        <f>+F34/F$21</f>
        <v>#DIV/0!</v>
      </c>
      <c r="O34" s="2" t="str">
        <f>"2021 / "&amp;B8_04_INDEX2021</f>
        <v>2021 / 125.3</v>
      </c>
    </row>
    <row r="35" spans="2:15" ht="11.25" customHeight="1" x14ac:dyDescent="0.2">
      <c r="B35" s="16"/>
      <c r="C35" s="275" t="s">
        <v>399</v>
      </c>
      <c r="D35" s="16" t="s">
        <v>384</v>
      </c>
      <c r="E35" s="16" t="s">
        <v>7</v>
      </c>
      <c r="F35" s="1192">
        <f>F95</f>
        <v>0</v>
      </c>
      <c r="G35" s="4"/>
      <c r="H35" s="5" t="s">
        <v>601</v>
      </c>
      <c r="I35" s="28"/>
      <c r="J35" s="28"/>
      <c r="K35" s="28" t="s">
        <v>403</v>
      </c>
      <c r="L35" s="269" t="e">
        <f t="shared" si="0"/>
        <v>#DIV/0!</v>
      </c>
      <c r="O35" s="2" t="str">
        <f>"2022 / "&amp;B8_04_INDEX2022</f>
        <v>2022 / 133.7</v>
      </c>
    </row>
    <row r="36" spans="2:15" ht="11.25" customHeight="1" x14ac:dyDescent="0.25">
      <c r="B36" s="4"/>
      <c r="C36" s="5" t="s">
        <v>255</v>
      </c>
      <c r="D36" s="4" t="s">
        <v>123</v>
      </c>
      <c r="E36" s="4" t="s">
        <v>7</v>
      </c>
      <c r="F36" s="1183"/>
      <c r="G36" s="4"/>
      <c r="H36" s="5" t="s">
        <v>256</v>
      </c>
      <c r="I36" s="28"/>
      <c r="J36" s="28"/>
      <c r="K36" s="4" t="s">
        <v>257</v>
      </c>
      <c r="L36" s="269" t="e">
        <f t="shared" si="0"/>
        <v>#DIV/0!</v>
      </c>
    </row>
    <row r="37" spans="2:15" ht="11.25" customHeight="1" x14ac:dyDescent="0.2">
      <c r="B37" s="4"/>
      <c r="C37" s="5" t="s">
        <v>404</v>
      </c>
      <c r="D37" s="4" t="s">
        <v>385</v>
      </c>
      <c r="E37" s="4" t="s">
        <v>182</v>
      </c>
      <c r="F37" s="1183"/>
      <c r="G37" s="4"/>
      <c r="H37" s="5" t="s">
        <v>601</v>
      </c>
      <c r="I37" s="28"/>
      <c r="J37" s="28"/>
      <c r="K37" s="4" t="s">
        <v>406</v>
      </c>
      <c r="L37" s="269" t="e">
        <f t="shared" si="0"/>
        <v>#DIV/0!</v>
      </c>
    </row>
    <row r="38" spans="2:15" ht="11.25" customHeight="1" x14ac:dyDescent="0.2">
      <c r="B38" s="4"/>
      <c r="C38" s="5" t="s">
        <v>705</v>
      </c>
      <c r="D38" s="4" t="s">
        <v>386</v>
      </c>
      <c r="E38" s="4" t="s">
        <v>258</v>
      </c>
      <c r="F38" s="1183"/>
      <c r="G38" s="4"/>
      <c r="H38" s="5" t="s">
        <v>601</v>
      </c>
      <c r="I38" s="28"/>
      <c r="J38" s="28"/>
      <c r="K38" s="4" t="s">
        <v>405</v>
      </c>
      <c r="L38" s="269" t="e">
        <f t="shared" si="0"/>
        <v>#DIV/0!</v>
      </c>
    </row>
    <row r="39" spans="2:15" ht="11.25" customHeight="1" x14ac:dyDescent="0.2">
      <c r="B39" s="4"/>
      <c r="C39" s="5" t="s">
        <v>259</v>
      </c>
      <c r="D39" s="4" t="s">
        <v>181</v>
      </c>
      <c r="E39" s="4" t="s">
        <v>260</v>
      </c>
      <c r="F39" s="1183"/>
      <c r="G39" s="4"/>
      <c r="H39" s="5"/>
      <c r="I39" s="28"/>
      <c r="J39" s="28"/>
      <c r="K39" s="4" t="s">
        <v>261</v>
      </c>
      <c r="L39" s="269" t="e">
        <f>+F39/$F$20</f>
        <v>#DIV/0!</v>
      </c>
    </row>
    <row r="40" spans="2:15" ht="11.25" customHeight="1" x14ac:dyDescent="0.25">
      <c r="B40" s="4"/>
      <c r="C40" s="5" t="s">
        <v>414</v>
      </c>
      <c r="D40" s="4" t="s">
        <v>415</v>
      </c>
      <c r="E40" s="4" t="s">
        <v>260</v>
      </c>
      <c r="F40" s="1183"/>
      <c r="G40" s="4"/>
      <c r="H40" s="5"/>
      <c r="I40" s="28"/>
      <c r="J40" s="28"/>
      <c r="K40" s="4" t="s">
        <v>576</v>
      </c>
      <c r="L40" s="269" t="e">
        <f>F40/$F$20</f>
        <v>#DIV/0!</v>
      </c>
    </row>
    <row r="41" spans="2:15" ht="7.5" customHeight="1" x14ac:dyDescent="0.2">
      <c r="B41" s="1"/>
      <c r="C41" s="1"/>
      <c r="D41" s="1"/>
      <c r="E41" s="1"/>
      <c r="F41" s="1"/>
      <c r="G41" s="1"/>
      <c r="H41" s="1"/>
      <c r="I41" s="1"/>
      <c r="J41" s="1"/>
      <c r="K41" s="1"/>
      <c r="L41" s="1"/>
    </row>
    <row r="42" spans="2:15" ht="11.25" customHeight="1" x14ac:dyDescent="0.2">
      <c r="C42" s="3" t="s">
        <v>262</v>
      </c>
    </row>
    <row r="43" spans="2:15" ht="11.25" customHeight="1" x14ac:dyDescent="0.2">
      <c r="B43" s="6" t="s">
        <v>18</v>
      </c>
      <c r="C43" s="6" t="s">
        <v>1</v>
      </c>
      <c r="D43" s="6" t="s">
        <v>263</v>
      </c>
      <c r="E43" s="4" t="s">
        <v>2</v>
      </c>
      <c r="F43" s="4" t="s">
        <v>28</v>
      </c>
      <c r="G43" s="4"/>
      <c r="H43" s="276" t="s">
        <v>264</v>
      </c>
      <c r="I43" s="276" t="s">
        <v>265</v>
      </c>
      <c r="J43" s="276" t="s">
        <v>266</v>
      </c>
      <c r="K43" s="276" t="s">
        <v>267</v>
      </c>
      <c r="L43" s="276" t="s">
        <v>268</v>
      </c>
    </row>
    <row r="44" spans="2:15" ht="11.25" customHeight="1" x14ac:dyDescent="0.2">
      <c r="B44" s="8">
        <v>1</v>
      </c>
      <c r="C44" s="6" t="s">
        <v>269</v>
      </c>
      <c r="D44" s="6" t="s">
        <v>0</v>
      </c>
      <c r="E44" s="4" t="s">
        <v>19</v>
      </c>
      <c r="F44" s="1183"/>
      <c r="G44" s="277" t="e">
        <f t="shared" ref="G44:G56" si="1">+F44/F$51</f>
        <v>#DIV/0!</v>
      </c>
      <c r="H44" s="269"/>
      <c r="I44" s="278" t="e">
        <f t="shared" ref="I44:I54" si="2">+F44/F$24</f>
        <v>#DIV/0!</v>
      </c>
      <c r="J44" s="278" t="e">
        <f t="shared" ref="J44:J54" si="3">+F44/F$21</f>
        <v>#DIV/0!</v>
      </c>
      <c r="K44" s="278" t="e">
        <f t="shared" ref="K44:K54" si="4">+F44/F$20</f>
        <v>#DIV/0!</v>
      </c>
      <c r="L44" s="278" t="e">
        <f t="shared" ref="L44:L54" si="5">+F44/F$17</f>
        <v>#DIV/0!</v>
      </c>
    </row>
    <row r="45" spans="2:15" ht="11.25" customHeight="1" x14ac:dyDescent="0.2">
      <c r="B45" s="8">
        <v>2</v>
      </c>
      <c r="C45" s="6" t="s">
        <v>21</v>
      </c>
      <c r="D45" s="6" t="s">
        <v>0</v>
      </c>
      <c r="E45" s="4" t="s">
        <v>19</v>
      </c>
      <c r="F45" s="908">
        <f>F73</f>
        <v>0</v>
      </c>
      <c r="G45" s="277" t="e">
        <f t="shared" si="1"/>
        <v>#DIV/0!</v>
      </c>
      <c r="H45" s="269"/>
      <c r="I45" s="278" t="e">
        <f t="shared" si="2"/>
        <v>#DIV/0!</v>
      </c>
      <c r="J45" s="278" t="e">
        <f t="shared" si="3"/>
        <v>#DIV/0!</v>
      </c>
      <c r="K45" s="278" t="e">
        <f t="shared" si="4"/>
        <v>#DIV/0!</v>
      </c>
      <c r="L45" s="278" t="e">
        <f t="shared" si="5"/>
        <v>#DIV/0!</v>
      </c>
    </row>
    <row r="46" spans="2:15" ht="11.25" customHeight="1" x14ac:dyDescent="0.2">
      <c r="B46" s="8">
        <v>3</v>
      </c>
      <c r="C46" s="6" t="s">
        <v>553</v>
      </c>
      <c r="D46" s="6" t="s">
        <v>0</v>
      </c>
      <c r="E46" s="4" t="s">
        <v>19</v>
      </c>
      <c r="F46" s="1183"/>
      <c r="G46" s="277" t="e">
        <f t="shared" si="1"/>
        <v>#DIV/0!</v>
      </c>
      <c r="H46" s="279"/>
      <c r="I46" s="278" t="e">
        <f t="shared" si="2"/>
        <v>#DIV/0!</v>
      </c>
      <c r="J46" s="278" t="e">
        <f t="shared" si="3"/>
        <v>#DIV/0!</v>
      </c>
      <c r="K46" s="278" t="e">
        <f t="shared" si="4"/>
        <v>#DIV/0!</v>
      </c>
      <c r="L46" s="278" t="e">
        <f t="shared" si="5"/>
        <v>#DIV/0!</v>
      </c>
    </row>
    <row r="47" spans="2:15" ht="11.25" customHeight="1" x14ac:dyDescent="0.2">
      <c r="B47" s="8">
        <v>4</v>
      </c>
      <c r="C47" s="6" t="s">
        <v>546</v>
      </c>
      <c r="D47" s="6" t="s">
        <v>9</v>
      </c>
      <c r="E47" s="4" t="s">
        <v>19</v>
      </c>
      <c r="F47" s="1183"/>
      <c r="G47" s="277" t="e">
        <f t="shared" si="1"/>
        <v>#DIV/0!</v>
      </c>
      <c r="H47" s="280" t="e">
        <f>+F47/F28</f>
        <v>#DIV/0!</v>
      </c>
      <c r="I47" s="281" t="e">
        <f t="shared" si="2"/>
        <v>#DIV/0!</v>
      </c>
      <c r="J47" s="278" t="e">
        <f t="shared" si="3"/>
        <v>#DIV/0!</v>
      </c>
      <c r="K47" s="278" t="e">
        <f t="shared" si="4"/>
        <v>#DIV/0!</v>
      </c>
      <c r="L47" s="278" t="e">
        <f t="shared" si="5"/>
        <v>#DIV/0!</v>
      </c>
    </row>
    <row r="48" spans="2:15" ht="11.25" customHeight="1" x14ac:dyDescent="0.2">
      <c r="B48" s="8">
        <v>5</v>
      </c>
      <c r="C48" s="6" t="s">
        <v>24</v>
      </c>
      <c r="D48" s="6" t="s">
        <v>0</v>
      </c>
      <c r="E48" s="4" t="s">
        <v>19</v>
      </c>
      <c r="F48" s="1183"/>
      <c r="G48" s="277" t="e">
        <f t="shared" si="1"/>
        <v>#DIV/0!</v>
      </c>
      <c r="H48" s="282"/>
      <c r="I48" s="278" t="e">
        <f t="shared" si="2"/>
        <v>#DIV/0!</v>
      </c>
      <c r="J48" s="278" t="e">
        <f t="shared" si="3"/>
        <v>#DIV/0!</v>
      </c>
      <c r="K48" s="278" t="e">
        <f t="shared" si="4"/>
        <v>#DIV/0!</v>
      </c>
      <c r="L48" s="278" t="e">
        <f t="shared" si="5"/>
        <v>#DIV/0!</v>
      </c>
    </row>
    <row r="49" spans="2:12" ht="11.25" customHeight="1" x14ac:dyDescent="0.2">
      <c r="B49" s="283" t="s">
        <v>143</v>
      </c>
      <c r="C49" s="284" t="s">
        <v>570</v>
      </c>
      <c r="D49" s="6" t="s">
        <v>0</v>
      </c>
      <c r="E49" s="4" t="s">
        <v>19</v>
      </c>
      <c r="F49" s="1183"/>
      <c r="G49" s="277" t="e">
        <f t="shared" si="1"/>
        <v>#DIV/0!</v>
      </c>
      <c r="H49" s="269"/>
      <c r="I49" s="278" t="e">
        <f t="shared" si="2"/>
        <v>#DIV/0!</v>
      </c>
      <c r="J49" s="278" t="e">
        <f t="shared" si="3"/>
        <v>#DIV/0!</v>
      </c>
      <c r="K49" s="278" t="e">
        <f t="shared" si="4"/>
        <v>#DIV/0!</v>
      </c>
      <c r="L49" s="278" t="e">
        <f t="shared" si="5"/>
        <v>#DIV/0!</v>
      </c>
    </row>
    <row r="50" spans="2:12" ht="11.25" customHeight="1" x14ac:dyDescent="0.2">
      <c r="B50" s="285">
        <v>9</v>
      </c>
      <c r="C50" s="78" t="s">
        <v>549</v>
      </c>
      <c r="D50" s="78" t="s">
        <v>0</v>
      </c>
      <c r="E50" s="15" t="s">
        <v>19</v>
      </c>
      <c r="F50" s="1187"/>
      <c r="G50" s="286" t="e">
        <f t="shared" si="1"/>
        <v>#DIV/0!</v>
      </c>
      <c r="H50" s="279"/>
      <c r="I50" s="287" t="e">
        <f t="shared" si="2"/>
        <v>#DIV/0!</v>
      </c>
      <c r="J50" s="287" t="e">
        <f t="shared" si="3"/>
        <v>#DIV/0!</v>
      </c>
      <c r="K50" s="287" t="e">
        <f t="shared" si="4"/>
        <v>#DIV/0!</v>
      </c>
      <c r="L50" s="287" t="e">
        <f t="shared" si="5"/>
        <v>#DIV/0!</v>
      </c>
    </row>
    <row r="51" spans="2:12" ht="11.25" customHeight="1" x14ac:dyDescent="0.2">
      <c r="B51" s="777"/>
      <c r="C51" s="778" t="s">
        <v>327</v>
      </c>
      <c r="D51" s="779"/>
      <c r="E51" s="779" t="s">
        <v>19</v>
      </c>
      <c r="F51" s="780">
        <f>SUM(F44:F50)</f>
        <v>0</v>
      </c>
      <c r="G51" s="781" t="e">
        <f t="shared" si="1"/>
        <v>#DIV/0!</v>
      </c>
      <c r="H51" s="782"/>
      <c r="I51" s="783" t="e">
        <f t="shared" si="2"/>
        <v>#DIV/0!</v>
      </c>
      <c r="J51" s="783" t="e">
        <f t="shared" si="3"/>
        <v>#DIV/0!</v>
      </c>
      <c r="K51" s="783" t="e">
        <f t="shared" si="4"/>
        <v>#DIV/0!</v>
      </c>
      <c r="L51" s="783" t="e">
        <f t="shared" si="5"/>
        <v>#DIV/0!</v>
      </c>
    </row>
    <row r="52" spans="2:12" ht="11.25" customHeight="1" x14ac:dyDescent="0.2">
      <c r="B52" s="288" t="s">
        <v>20</v>
      </c>
      <c r="C52" s="289" t="s">
        <v>271</v>
      </c>
      <c r="D52" s="289" t="s">
        <v>6</v>
      </c>
      <c r="E52" s="181" t="s">
        <v>19</v>
      </c>
      <c r="F52" s="1190"/>
      <c r="G52" s="313" t="e">
        <f t="shared" si="1"/>
        <v>#DIV/0!</v>
      </c>
      <c r="H52" s="314" t="e">
        <f>+F52/F34</f>
        <v>#DIV/0!</v>
      </c>
      <c r="I52" s="290" t="e">
        <f t="shared" si="2"/>
        <v>#DIV/0!</v>
      </c>
      <c r="J52" s="290" t="e">
        <f t="shared" si="3"/>
        <v>#DIV/0!</v>
      </c>
      <c r="K52" s="290" t="e">
        <f t="shared" si="4"/>
        <v>#DIV/0!</v>
      </c>
      <c r="L52" s="290" t="e">
        <f t="shared" si="5"/>
        <v>#DIV/0!</v>
      </c>
    </row>
    <row r="53" spans="2:12" ht="11.25" customHeight="1" x14ac:dyDescent="0.2">
      <c r="B53" s="777"/>
      <c r="C53" s="778" t="s">
        <v>272</v>
      </c>
      <c r="D53" s="779"/>
      <c r="E53" s="779" t="s">
        <v>19</v>
      </c>
      <c r="F53" s="780">
        <f>F51+F52</f>
        <v>0</v>
      </c>
      <c r="G53" s="781" t="e">
        <f t="shared" si="1"/>
        <v>#DIV/0!</v>
      </c>
      <c r="H53" s="782"/>
      <c r="I53" s="783" t="e">
        <f t="shared" si="2"/>
        <v>#DIV/0!</v>
      </c>
      <c r="J53" s="783" t="e">
        <f t="shared" si="3"/>
        <v>#DIV/0!</v>
      </c>
      <c r="K53" s="783" t="e">
        <f t="shared" si="4"/>
        <v>#DIV/0!</v>
      </c>
      <c r="L53" s="783" t="e">
        <f t="shared" si="5"/>
        <v>#DIV/0!</v>
      </c>
    </row>
    <row r="54" spans="2:12" ht="11.25" customHeight="1" x14ac:dyDescent="0.2">
      <c r="B54" s="315">
        <v>1</v>
      </c>
      <c r="C54" s="181" t="s">
        <v>328</v>
      </c>
      <c r="D54" s="181"/>
      <c r="E54" s="181" t="s">
        <v>19</v>
      </c>
      <c r="F54" s="1190"/>
      <c r="G54" s="313" t="e">
        <f t="shared" si="1"/>
        <v>#DIV/0!</v>
      </c>
      <c r="H54" s="314"/>
      <c r="I54" s="290" t="e">
        <f t="shared" si="2"/>
        <v>#DIV/0!</v>
      </c>
      <c r="J54" s="290" t="e">
        <f t="shared" si="3"/>
        <v>#DIV/0!</v>
      </c>
      <c r="K54" s="290" t="e">
        <f t="shared" si="4"/>
        <v>#DIV/0!</v>
      </c>
      <c r="L54" s="290" t="e">
        <f t="shared" si="5"/>
        <v>#DIV/0!</v>
      </c>
    </row>
    <row r="55" spans="2:12" ht="11.25" customHeight="1" x14ac:dyDescent="0.2">
      <c r="B55" s="785"/>
      <c r="C55" s="786" t="s">
        <v>352</v>
      </c>
      <c r="D55" s="787"/>
      <c r="E55" s="787"/>
      <c r="F55" s="788"/>
      <c r="G55" s="789"/>
      <c r="H55" s="790"/>
      <c r="I55" s="791"/>
      <c r="J55" s="791"/>
      <c r="K55" s="791"/>
      <c r="L55" s="791"/>
    </row>
    <row r="56" spans="2:12" ht="11.25" customHeight="1" x14ac:dyDescent="0.2">
      <c r="B56" s="792"/>
      <c r="C56" s="1172" t="s">
        <v>353</v>
      </c>
      <c r="D56" s="1173"/>
      <c r="E56" s="793"/>
      <c r="F56" s="794">
        <f>F53+F54</f>
        <v>0</v>
      </c>
      <c r="G56" s="426" t="e">
        <f t="shared" si="1"/>
        <v>#DIV/0!</v>
      </c>
      <c r="H56" s="795"/>
      <c r="I56" s="796" t="e">
        <f>+F56/F$24</f>
        <v>#DIV/0!</v>
      </c>
      <c r="J56" s="796" t="e">
        <f>+F56/F$21</f>
        <v>#DIV/0!</v>
      </c>
      <c r="K56" s="796" t="e">
        <f>+F56/F$20</f>
        <v>#DIV/0!</v>
      </c>
      <c r="L56" s="796" t="e">
        <f>+F56/F$17</f>
        <v>#DIV/0!</v>
      </c>
    </row>
    <row r="57" spans="2:12" ht="7.5" customHeight="1" x14ac:dyDescent="0.2">
      <c r="B57" s="10"/>
      <c r="C57" s="11"/>
      <c r="D57" s="9"/>
      <c r="E57" s="9"/>
      <c r="F57" s="291"/>
      <c r="G57" s="292"/>
      <c r="H57" s="293"/>
      <c r="I57" s="294"/>
      <c r="J57" s="294"/>
      <c r="K57" s="294"/>
      <c r="L57" s="12"/>
    </row>
    <row r="58" spans="2:12" ht="11.25" customHeight="1" x14ac:dyDescent="0.2">
      <c r="B58" s="6" t="s">
        <v>18</v>
      </c>
      <c r="C58" s="6" t="s">
        <v>1</v>
      </c>
      <c r="D58" s="6" t="s">
        <v>263</v>
      </c>
      <c r="E58" s="4" t="s">
        <v>2</v>
      </c>
      <c r="F58" s="4" t="s">
        <v>28</v>
      </c>
      <c r="G58" s="4"/>
      <c r="H58" s="276" t="s">
        <v>264</v>
      </c>
      <c r="I58" s="276" t="s">
        <v>265</v>
      </c>
      <c r="J58" s="276" t="s">
        <v>266</v>
      </c>
      <c r="K58" s="276" t="s">
        <v>267</v>
      </c>
      <c r="L58" s="276" t="s">
        <v>268</v>
      </c>
    </row>
    <row r="59" spans="2:12" ht="11.25" customHeight="1" x14ac:dyDescent="0.2">
      <c r="B59" s="7">
        <v>20</v>
      </c>
      <c r="C59" s="6" t="s">
        <v>29</v>
      </c>
      <c r="D59" s="6"/>
      <c r="E59" s="4" t="s">
        <v>19</v>
      </c>
      <c r="F59" s="1183"/>
      <c r="G59" s="277" t="e">
        <f t="shared" ref="G59:G73" si="6">+F59/F$51</f>
        <v>#DIV/0!</v>
      </c>
      <c r="H59" s="269"/>
      <c r="I59" s="278" t="e">
        <f t="shared" ref="I59:I73" si="7">+F59/F$24</f>
        <v>#DIV/0!</v>
      </c>
      <c r="J59" s="278" t="e">
        <f t="shared" ref="J59:J73" si="8">+F59/F$21</f>
        <v>#DIV/0!</v>
      </c>
      <c r="K59" s="278" t="e">
        <f t="shared" ref="K59:K73" si="9">+F59/F$20</f>
        <v>#DIV/0!</v>
      </c>
      <c r="L59" s="278" t="e">
        <f t="shared" ref="L59:L73" si="10">+F59/F$17</f>
        <v>#DIV/0!</v>
      </c>
    </row>
    <row r="60" spans="2:12" ht="11.25" customHeight="1" x14ac:dyDescent="0.2">
      <c r="B60" s="8">
        <v>21</v>
      </c>
      <c r="C60" s="6" t="s">
        <v>30</v>
      </c>
      <c r="D60" s="6"/>
      <c r="E60" s="4" t="s">
        <v>19</v>
      </c>
      <c r="F60" s="1183"/>
      <c r="G60" s="277" t="e">
        <f t="shared" si="6"/>
        <v>#DIV/0!</v>
      </c>
      <c r="H60" s="269"/>
      <c r="I60" s="278" t="e">
        <f t="shared" si="7"/>
        <v>#DIV/0!</v>
      </c>
      <c r="J60" s="278" t="e">
        <f t="shared" si="8"/>
        <v>#DIV/0!</v>
      </c>
      <c r="K60" s="278" t="e">
        <f t="shared" si="9"/>
        <v>#DIV/0!</v>
      </c>
      <c r="L60" s="278" t="e">
        <f t="shared" si="10"/>
        <v>#DIV/0!</v>
      </c>
    </row>
    <row r="61" spans="2:12" ht="11.25" customHeight="1" x14ac:dyDescent="0.2">
      <c r="B61" s="8">
        <v>22</v>
      </c>
      <c r="C61" s="6" t="s">
        <v>31</v>
      </c>
      <c r="D61" s="6"/>
      <c r="E61" s="4" t="s">
        <v>19</v>
      </c>
      <c r="F61" s="1183"/>
      <c r="G61" s="277" t="e">
        <f t="shared" si="6"/>
        <v>#DIV/0!</v>
      </c>
      <c r="H61" s="269"/>
      <c r="I61" s="278" t="e">
        <f t="shared" si="7"/>
        <v>#DIV/0!</v>
      </c>
      <c r="J61" s="278" t="e">
        <f t="shared" si="8"/>
        <v>#DIV/0!</v>
      </c>
      <c r="K61" s="278" t="e">
        <f t="shared" si="9"/>
        <v>#DIV/0!</v>
      </c>
      <c r="L61" s="278" t="e">
        <f t="shared" si="10"/>
        <v>#DIV/0!</v>
      </c>
    </row>
    <row r="62" spans="2:12" ht="11.25" customHeight="1" x14ac:dyDescent="0.2">
      <c r="B62" s="8">
        <v>23</v>
      </c>
      <c r="C62" s="6" t="s">
        <v>32</v>
      </c>
      <c r="D62" s="6"/>
      <c r="E62" s="4" t="s">
        <v>19</v>
      </c>
      <c r="F62" s="1183"/>
      <c r="G62" s="277" t="e">
        <f t="shared" si="6"/>
        <v>#DIV/0!</v>
      </c>
      <c r="H62" s="269"/>
      <c r="I62" s="278" t="e">
        <f t="shared" si="7"/>
        <v>#DIV/0!</v>
      </c>
      <c r="J62" s="278" t="e">
        <f t="shared" si="8"/>
        <v>#DIV/0!</v>
      </c>
      <c r="K62" s="278" t="e">
        <f t="shared" si="9"/>
        <v>#DIV/0!</v>
      </c>
      <c r="L62" s="278" t="e">
        <f t="shared" si="10"/>
        <v>#DIV/0!</v>
      </c>
    </row>
    <row r="63" spans="2:12" ht="11.25" customHeight="1" x14ac:dyDescent="0.2">
      <c r="B63" s="8">
        <v>24</v>
      </c>
      <c r="C63" s="36" t="s">
        <v>370</v>
      </c>
      <c r="D63" s="6" t="s">
        <v>274</v>
      </c>
      <c r="E63" s="4" t="s">
        <v>19</v>
      </c>
      <c r="F63" s="1183"/>
      <c r="G63" s="277" t="e">
        <f t="shared" si="6"/>
        <v>#DIV/0!</v>
      </c>
      <c r="H63" s="295" t="e">
        <f>F63/F39</f>
        <v>#DIV/0!</v>
      </c>
      <c r="I63" s="278" t="e">
        <f t="shared" si="7"/>
        <v>#DIV/0!</v>
      </c>
      <c r="J63" s="278" t="e">
        <f t="shared" si="8"/>
        <v>#DIV/0!</v>
      </c>
      <c r="K63" s="278" t="e">
        <f t="shared" si="9"/>
        <v>#DIV/0!</v>
      </c>
      <c r="L63" s="278" t="e">
        <f t="shared" si="10"/>
        <v>#DIV/0!</v>
      </c>
    </row>
    <row r="64" spans="2:12" ht="11.25" customHeight="1" x14ac:dyDescent="0.25">
      <c r="B64" s="8"/>
      <c r="C64" s="36" t="s">
        <v>569</v>
      </c>
      <c r="D64" s="4" t="s">
        <v>123</v>
      </c>
      <c r="E64" s="4" t="s">
        <v>19</v>
      </c>
      <c r="F64" s="1183"/>
      <c r="G64" s="277" t="e">
        <f>+F64/F$51</f>
        <v>#DIV/0!</v>
      </c>
      <c r="H64" s="295" t="e">
        <f>F64/F36</f>
        <v>#DIV/0!</v>
      </c>
      <c r="I64" s="278" t="e">
        <f t="shared" si="7"/>
        <v>#DIV/0!</v>
      </c>
      <c r="J64" s="278" t="e">
        <f t="shared" si="8"/>
        <v>#DIV/0!</v>
      </c>
      <c r="K64" s="278" t="e">
        <f t="shared" si="9"/>
        <v>#DIV/0!</v>
      </c>
      <c r="L64" s="278" t="e">
        <f t="shared" si="10"/>
        <v>#DIV/0!</v>
      </c>
    </row>
    <row r="65" spans="2:12" ht="11.25" customHeight="1" x14ac:dyDescent="0.2">
      <c r="B65" s="8"/>
      <c r="C65" s="36" t="s">
        <v>187</v>
      </c>
      <c r="D65" s="6" t="s">
        <v>275</v>
      </c>
      <c r="E65" s="4" t="s">
        <v>19</v>
      </c>
      <c r="F65" s="1183"/>
      <c r="G65" s="277" t="e">
        <f>+F65/F$51</f>
        <v>#DIV/0!</v>
      </c>
      <c r="H65" s="295" t="e">
        <f>F65/$F$38</f>
        <v>#DIV/0!</v>
      </c>
      <c r="I65" s="278" t="e">
        <f t="shared" si="7"/>
        <v>#DIV/0!</v>
      </c>
      <c r="J65" s="278" t="e">
        <f t="shared" si="8"/>
        <v>#DIV/0!</v>
      </c>
      <c r="K65" s="278" t="e">
        <f t="shared" si="9"/>
        <v>#DIV/0!</v>
      </c>
      <c r="L65" s="278" t="e">
        <f t="shared" si="10"/>
        <v>#DIV/0!</v>
      </c>
    </row>
    <row r="66" spans="2:12" ht="11.25" customHeight="1" x14ac:dyDescent="0.2">
      <c r="B66" s="8">
        <v>25</v>
      </c>
      <c r="C66" s="36" t="s">
        <v>276</v>
      </c>
      <c r="D66" s="6" t="s">
        <v>408</v>
      </c>
      <c r="E66" s="4" t="s">
        <v>19</v>
      </c>
      <c r="F66" s="1183"/>
      <c r="G66" s="277" t="e">
        <f t="shared" si="6"/>
        <v>#DIV/0!</v>
      </c>
      <c r="H66" s="295" t="e">
        <f>F66/F37</f>
        <v>#DIV/0!</v>
      </c>
      <c r="I66" s="278" t="e">
        <f t="shared" si="7"/>
        <v>#DIV/0!</v>
      </c>
      <c r="J66" s="278" t="e">
        <f t="shared" si="8"/>
        <v>#DIV/0!</v>
      </c>
      <c r="K66" s="278" t="e">
        <f t="shared" si="9"/>
        <v>#DIV/0!</v>
      </c>
      <c r="L66" s="278" t="e">
        <f t="shared" si="10"/>
        <v>#DIV/0!</v>
      </c>
    </row>
    <row r="67" spans="2:12" ht="11.25" customHeight="1" x14ac:dyDescent="0.25">
      <c r="B67" s="8"/>
      <c r="C67" s="36" t="s">
        <v>411</v>
      </c>
      <c r="D67" s="6" t="s">
        <v>413</v>
      </c>
      <c r="E67" s="4" t="s">
        <v>19</v>
      </c>
      <c r="F67" s="1183"/>
      <c r="G67" s="277" t="e">
        <f>+F67/F$51</f>
        <v>#DIV/0!</v>
      </c>
      <c r="H67" s="295" t="e">
        <f>F67/$F$40</f>
        <v>#DIV/0!</v>
      </c>
      <c r="I67" s="278" t="e">
        <f>+F67/F$24</f>
        <v>#DIV/0!</v>
      </c>
      <c r="J67" s="278" t="e">
        <f>+F67/F$21</f>
        <v>#DIV/0!</v>
      </c>
      <c r="K67" s="278" t="e">
        <f>+F67/F$20</f>
        <v>#DIV/0!</v>
      </c>
      <c r="L67" s="278" t="e">
        <f>+F67/F$17</f>
        <v>#DIV/0!</v>
      </c>
    </row>
    <row r="68" spans="2:12" ht="11.25" customHeight="1" x14ac:dyDescent="0.2">
      <c r="B68" s="8"/>
      <c r="C68" s="36" t="s">
        <v>195</v>
      </c>
      <c r="D68" s="6"/>
      <c r="E68" s="4" t="s">
        <v>19</v>
      </c>
      <c r="F68" s="1183"/>
      <c r="G68" s="277" t="e">
        <f>+F68/F$51</f>
        <v>#DIV/0!</v>
      </c>
      <c r="H68" s="269"/>
      <c r="I68" s="278" t="e">
        <f t="shared" si="7"/>
        <v>#DIV/0!</v>
      </c>
      <c r="J68" s="278" t="e">
        <f t="shared" si="8"/>
        <v>#DIV/0!</v>
      </c>
      <c r="K68" s="278" t="e">
        <f t="shared" si="9"/>
        <v>#DIV/0!</v>
      </c>
      <c r="L68" s="278" t="e">
        <f t="shared" si="10"/>
        <v>#DIV/0!</v>
      </c>
    </row>
    <row r="69" spans="2:12" ht="11.25" customHeight="1" x14ac:dyDescent="0.2">
      <c r="B69" s="7">
        <v>26</v>
      </c>
      <c r="C69" s="6" t="s">
        <v>27</v>
      </c>
      <c r="D69" s="6" t="s">
        <v>0</v>
      </c>
      <c r="E69" s="4" t="s">
        <v>19</v>
      </c>
      <c r="F69" s="1183"/>
      <c r="G69" s="277" t="e">
        <f t="shared" si="6"/>
        <v>#DIV/0!</v>
      </c>
      <c r="H69" s="269"/>
      <c r="I69" s="278" t="e">
        <f t="shared" si="7"/>
        <v>#DIV/0!</v>
      </c>
      <c r="J69" s="278" t="e">
        <f t="shared" si="8"/>
        <v>#DIV/0!</v>
      </c>
      <c r="K69" s="278" t="e">
        <f t="shared" si="9"/>
        <v>#DIV/0!</v>
      </c>
      <c r="L69" s="278" t="e">
        <f t="shared" si="10"/>
        <v>#DIV/0!</v>
      </c>
    </row>
    <row r="70" spans="2:12" ht="11.25" customHeight="1" x14ac:dyDescent="0.2">
      <c r="B70" s="7">
        <v>27</v>
      </c>
      <c r="C70" s="6" t="s">
        <v>33</v>
      </c>
      <c r="D70" s="6" t="s">
        <v>0</v>
      </c>
      <c r="E70" s="4" t="s">
        <v>19</v>
      </c>
      <c r="F70" s="1183"/>
      <c r="G70" s="277" t="e">
        <f t="shared" si="6"/>
        <v>#DIV/0!</v>
      </c>
      <c r="H70" s="269"/>
      <c r="I70" s="278" t="e">
        <f t="shared" si="7"/>
        <v>#DIV/0!</v>
      </c>
      <c r="J70" s="278" t="e">
        <f t="shared" si="8"/>
        <v>#DIV/0!</v>
      </c>
      <c r="K70" s="278" t="e">
        <f t="shared" si="9"/>
        <v>#DIV/0!</v>
      </c>
      <c r="L70" s="278" t="e">
        <f t="shared" si="10"/>
        <v>#DIV/0!</v>
      </c>
    </row>
    <row r="71" spans="2:12" ht="11.25" customHeight="1" x14ac:dyDescent="0.2">
      <c r="B71" s="8">
        <v>28</v>
      </c>
      <c r="C71" s="6" t="s">
        <v>34</v>
      </c>
      <c r="D71" s="6" t="s">
        <v>0</v>
      </c>
      <c r="E71" s="4" t="s">
        <v>19</v>
      </c>
      <c r="F71" s="1183"/>
      <c r="G71" s="277" t="e">
        <f t="shared" si="6"/>
        <v>#DIV/0!</v>
      </c>
      <c r="H71" s="269"/>
      <c r="I71" s="278" t="e">
        <f t="shared" si="7"/>
        <v>#DIV/0!</v>
      </c>
      <c r="J71" s="278" t="e">
        <f t="shared" si="8"/>
        <v>#DIV/0!</v>
      </c>
      <c r="K71" s="278" t="e">
        <f t="shared" si="9"/>
        <v>#DIV/0!</v>
      </c>
      <c r="L71" s="278" t="e">
        <f t="shared" si="10"/>
        <v>#DIV/0!</v>
      </c>
    </row>
    <row r="72" spans="2:12" ht="11.25" customHeight="1" x14ac:dyDescent="0.2">
      <c r="B72" s="285">
        <v>29</v>
      </c>
      <c r="C72" s="78" t="s">
        <v>550</v>
      </c>
      <c r="D72" s="78"/>
      <c r="E72" s="15" t="s">
        <v>19</v>
      </c>
      <c r="F72" s="1187"/>
      <c r="G72" s="286" t="e">
        <f t="shared" si="6"/>
        <v>#DIV/0!</v>
      </c>
      <c r="H72" s="279"/>
      <c r="I72" s="287" t="e">
        <f t="shared" si="7"/>
        <v>#DIV/0!</v>
      </c>
      <c r="J72" s="287" t="e">
        <f t="shared" si="8"/>
        <v>#DIV/0!</v>
      </c>
      <c r="K72" s="287" t="e">
        <f t="shared" si="9"/>
        <v>#DIV/0!</v>
      </c>
      <c r="L72" s="287" t="e">
        <f t="shared" si="10"/>
        <v>#DIV/0!</v>
      </c>
    </row>
    <row r="73" spans="2:12" ht="11.25" customHeight="1" x14ac:dyDescent="0.2">
      <c r="B73" s="797"/>
      <c r="C73" s="798" t="s">
        <v>277</v>
      </c>
      <c r="D73" s="799"/>
      <c r="E73" s="799" t="s">
        <v>19</v>
      </c>
      <c r="F73" s="800">
        <f>SUM(F59:F72)</f>
        <v>0</v>
      </c>
      <c r="G73" s="801" t="e">
        <f t="shared" si="6"/>
        <v>#DIV/0!</v>
      </c>
      <c r="H73" s="802"/>
      <c r="I73" s="803" t="e">
        <f t="shared" si="7"/>
        <v>#DIV/0!</v>
      </c>
      <c r="J73" s="803" t="e">
        <f t="shared" si="8"/>
        <v>#DIV/0!</v>
      </c>
      <c r="K73" s="803" t="e">
        <f t="shared" si="9"/>
        <v>#DIV/0!</v>
      </c>
      <c r="L73" s="803" t="e">
        <f t="shared" si="10"/>
        <v>#DIV/0!</v>
      </c>
    </row>
    <row r="74" spans="2:12" ht="11.25" customHeight="1" x14ac:dyDescent="0.2">
      <c r="B74" s="10"/>
      <c r="C74" s="11"/>
      <c r="D74" s="9"/>
      <c r="E74" s="9"/>
      <c r="F74" s="291"/>
      <c r="G74" s="292"/>
      <c r="H74" s="293"/>
      <c r="I74" s="291"/>
      <c r="J74" s="291"/>
      <c r="K74" s="291"/>
      <c r="L74" s="291"/>
    </row>
    <row r="75" spans="2:12" ht="11.25" customHeight="1" x14ac:dyDescent="0.2">
      <c r="B75" s="3" t="s">
        <v>278</v>
      </c>
      <c r="C75" s="3"/>
    </row>
    <row r="76" spans="2:12" ht="11.25" customHeight="1" x14ac:dyDescent="0.2">
      <c r="C76" s="3"/>
    </row>
    <row r="77" spans="2:12" ht="11.25" customHeight="1" x14ac:dyDescent="0.2">
      <c r="C77" s="3" t="s">
        <v>673</v>
      </c>
    </row>
    <row r="78" spans="2:12" ht="11.25" customHeight="1" x14ac:dyDescent="0.2">
      <c r="B78" s="814" t="s">
        <v>0</v>
      </c>
      <c r="C78" s="815" t="s">
        <v>674</v>
      </c>
      <c r="D78" s="815"/>
      <c r="E78" s="815" t="s">
        <v>2</v>
      </c>
      <c r="F78" s="816" t="s">
        <v>363</v>
      </c>
      <c r="G78" s="815"/>
      <c r="H78" s="816" t="s">
        <v>675</v>
      </c>
      <c r="I78" s="816" t="s">
        <v>676</v>
      </c>
      <c r="J78" s="816" t="s">
        <v>677</v>
      </c>
      <c r="K78" s="816" t="s">
        <v>678</v>
      </c>
      <c r="L78" s="828" t="s">
        <v>679</v>
      </c>
    </row>
    <row r="79" spans="2:12" ht="11.25" customHeight="1" x14ac:dyDescent="0.2">
      <c r="B79" s="817"/>
      <c r="C79" s="818" t="s">
        <v>680</v>
      </c>
      <c r="D79" s="775"/>
      <c r="E79" s="775" t="s">
        <v>19</v>
      </c>
      <c r="F79" s="819">
        <f>F51-F80</f>
        <v>0</v>
      </c>
      <c r="G79" s="820" t="e">
        <f t="shared" ref="G79:G84" si="11">F79/$F$51</f>
        <v>#DIV/0!</v>
      </c>
      <c r="H79" s="819">
        <f>F22</f>
        <v>0</v>
      </c>
      <c r="I79" s="423"/>
      <c r="J79" s="819" t="e">
        <f>F79/H79</f>
        <v>#DIV/0!</v>
      </c>
      <c r="K79" s="819" t="e">
        <f>F79/F17</f>
        <v>#DIV/0!</v>
      </c>
      <c r="L79" s="424"/>
    </row>
    <row r="80" spans="2:12" ht="11.25" customHeight="1" x14ac:dyDescent="0.2">
      <c r="B80" s="817"/>
      <c r="C80" s="821" t="s">
        <v>681</v>
      </c>
      <c r="D80" s="775"/>
      <c r="E80" s="775" t="s">
        <v>19</v>
      </c>
      <c r="F80" s="819">
        <f>Eingabe!M87</f>
        <v>0</v>
      </c>
      <c r="G80" s="820" t="e">
        <f t="shared" si="11"/>
        <v>#DIV/0!</v>
      </c>
      <c r="H80" s="819">
        <f>F23</f>
        <v>0</v>
      </c>
      <c r="I80" s="423"/>
      <c r="J80" s="819" t="str">
        <f>IF(H80=0," ",F80/H80)</f>
        <v xml:space="preserve"> </v>
      </c>
      <c r="K80" s="425"/>
      <c r="L80" s="424"/>
    </row>
    <row r="81" spans="2:12" ht="11.25" customHeight="1" x14ac:dyDescent="0.2">
      <c r="B81" s="817"/>
      <c r="C81" s="821" t="s">
        <v>642</v>
      </c>
      <c r="D81" s="775"/>
      <c r="E81" s="775" t="s">
        <v>19</v>
      </c>
      <c r="F81" s="822">
        <f>F79-F80-F82-F83-F84</f>
        <v>0</v>
      </c>
      <c r="G81" s="820" t="e">
        <f t="shared" si="11"/>
        <v>#DIV/0!</v>
      </c>
      <c r="H81" s="423"/>
      <c r="I81" s="423"/>
      <c r="J81" s="425"/>
      <c r="K81" s="819" t="str">
        <f>IF(F17=0," ",F81/F17)</f>
        <v xml:space="preserve"> </v>
      </c>
      <c r="L81" s="424"/>
    </row>
    <row r="82" spans="2:12" ht="11.25" customHeight="1" x14ac:dyDescent="0.2">
      <c r="B82" s="817"/>
      <c r="C82" s="821" t="s">
        <v>637</v>
      </c>
      <c r="D82" s="775"/>
      <c r="E82" s="775" t="s">
        <v>19</v>
      </c>
      <c r="F82" s="822">
        <f>Eingabe!M88</f>
        <v>0</v>
      </c>
      <c r="G82" s="820" t="e">
        <f t="shared" si="11"/>
        <v>#DIV/0!</v>
      </c>
      <c r="H82" s="423"/>
      <c r="I82" s="819">
        <f>H18</f>
        <v>0</v>
      </c>
      <c r="J82" s="425"/>
      <c r="K82" s="425"/>
      <c r="L82" s="830" t="str">
        <f>IF(I82=0," ",F82/I82)</f>
        <v xml:space="preserve"> </v>
      </c>
    </row>
    <row r="83" spans="2:12" ht="11.25" customHeight="1" x14ac:dyDescent="0.2">
      <c r="B83" s="817"/>
      <c r="C83" s="821" t="s">
        <v>637</v>
      </c>
      <c r="D83" s="775"/>
      <c r="E83" s="775" t="s">
        <v>19</v>
      </c>
      <c r="F83" s="822">
        <f>Eingabe!M89</f>
        <v>0</v>
      </c>
      <c r="G83" s="820" t="e">
        <f t="shared" si="11"/>
        <v>#DIV/0!</v>
      </c>
      <c r="H83" s="423"/>
      <c r="I83" s="819">
        <f>J18</f>
        <v>0</v>
      </c>
      <c r="J83" s="425"/>
      <c r="K83" s="425"/>
      <c r="L83" s="830" t="str">
        <f>IF(I83=0," ",F83/I83)</f>
        <v xml:space="preserve"> </v>
      </c>
    </row>
    <row r="84" spans="2:12" ht="11.25" customHeight="1" x14ac:dyDescent="0.2">
      <c r="B84" s="823"/>
      <c r="C84" s="824" t="s">
        <v>638</v>
      </c>
      <c r="D84" s="825"/>
      <c r="E84" s="825" t="s">
        <v>19</v>
      </c>
      <c r="F84" s="826">
        <f>Eingabe!M90</f>
        <v>0</v>
      </c>
      <c r="G84" s="827" t="e">
        <f t="shared" si="11"/>
        <v>#DIV/0!</v>
      </c>
      <c r="H84" s="427"/>
      <c r="I84" s="829">
        <f>L18</f>
        <v>0</v>
      </c>
      <c r="J84" s="428"/>
      <c r="K84" s="428"/>
      <c r="L84" s="831" t="str">
        <f>IF(I84=0," ",F84/I84)</f>
        <v xml:space="preserve"> </v>
      </c>
    </row>
    <row r="85" spans="2:12" ht="11.25" customHeight="1" x14ac:dyDescent="0.2">
      <c r="C85" s="3" t="s">
        <v>0</v>
      </c>
    </row>
    <row r="86" spans="2:12" ht="11.25" customHeight="1" x14ac:dyDescent="0.2">
      <c r="B86" s="15"/>
      <c r="C86" s="3" t="s">
        <v>235</v>
      </c>
      <c r="D86" s="15"/>
      <c r="E86" s="15"/>
      <c r="F86" s="15"/>
      <c r="G86" s="4"/>
      <c r="H86" s="5"/>
      <c r="I86" s="28"/>
      <c r="J86" s="28"/>
      <c r="K86" s="28"/>
      <c r="L86" s="4"/>
    </row>
    <row r="87" spans="2:12" ht="11.25" customHeight="1" x14ac:dyDescent="0.2">
      <c r="B87" s="296"/>
      <c r="C87" s="297" t="s">
        <v>279</v>
      </c>
      <c r="D87" s="182" t="s">
        <v>17</v>
      </c>
      <c r="E87" s="182" t="s">
        <v>7</v>
      </c>
      <c r="F87" s="812">
        <f>SUM(F88:F93)</f>
        <v>0</v>
      </c>
      <c r="G87" s="38"/>
      <c r="H87" s="5" t="s">
        <v>280</v>
      </c>
      <c r="I87" s="28"/>
      <c r="J87" s="28"/>
      <c r="K87" s="28" t="s">
        <v>239</v>
      </c>
      <c r="L87" s="269" t="e">
        <f t="shared" ref="L87:L93" si="12">+F87/F$24</f>
        <v>#DIV/0!</v>
      </c>
    </row>
    <row r="88" spans="2:12" ht="11.25" customHeight="1" x14ac:dyDescent="0.2">
      <c r="B88" s="199"/>
      <c r="C88" s="298" t="s">
        <v>686</v>
      </c>
      <c r="D88" s="16" t="s">
        <v>37</v>
      </c>
      <c r="E88" s="16" t="s">
        <v>7</v>
      </c>
      <c r="F88" s="1191"/>
      <c r="G88" s="316" t="e">
        <f t="shared" ref="G88:G93" si="13">F88/$F$87</f>
        <v>#DIV/0!</v>
      </c>
      <c r="H88" s="5" t="s">
        <v>280</v>
      </c>
      <c r="I88" s="28"/>
      <c r="J88" s="28"/>
      <c r="K88" s="28" t="s">
        <v>354</v>
      </c>
      <c r="L88" s="269" t="e">
        <f t="shared" si="12"/>
        <v>#DIV/0!</v>
      </c>
    </row>
    <row r="89" spans="2:12" ht="11.25" customHeight="1" x14ac:dyDescent="0.2">
      <c r="B89" s="21"/>
      <c r="C89" s="299" t="s">
        <v>687</v>
      </c>
      <c r="D89" s="4" t="s">
        <v>38</v>
      </c>
      <c r="E89" s="4" t="s">
        <v>7</v>
      </c>
      <c r="F89" s="1185"/>
      <c r="G89" s="316" t="e">
        <f t="shared" si="13"/>
        <v>#DIV/0!</v>
      </c>
      <c r="H89" s="5" t="s">
        <v>280</v>
      </c>
      <c r="I89" s="28"/>
      <c r="J89" s="28"/>
      <c r="K89" s="28" t="s">
        <v>355</v>
      </c>
      <c r="L89" s="269" t="e">
        <f t="shared" si="12"/>
        <v>#DIV/0!</v>
      </c>
    </row>
    <row r="90" spans="2:12" ht="11.25" customHeight="1" x14ac:dyDescent="0.2">
      <c r="B90" s="21"/>
      <c r="C90" s="299" t="s">
        <v>691</v>
      </c>
      <c r="D90" s="4" t="s">
        <v>39</v>
      </c>
      <c r="E90" s="4" t="s">
        <v>7</v>
      </c>
      <c r="F90" s="1185"/>
      <c r="G90" s="316" t="e">
        <f t="shared" si="13"/>
        <v>#DIV/0!</v>
      </c>
      <c r="H90" s="5" t="s">
        <v>280</v>
      </c>
      <c r="I90" s="28"/>
      <c r="J90" s="28"/>
      <c r="K90" s="28" t="s">
        <v>356</v>
      </c>
      <c r="L90" s="269" t="e">
        <f t="shared" si="12"/>
        <v>#DIV/0!</v>
      </c>
    </row>
    <row r="91" spans="2:12" ht="11.25" customHeight="1" x14ac:dyDescent="0.2">
      <c r="B91" s="21"/>
      <c r="C91" s="299" t="s">
        <v>688</v>
      </c>
      <c r="D91" s="4" t="s">
        <v>40</v>
      </c>
      <c r="E91" s="4" t="s">
        <v>7</v>
      </c>
      <c r="F91" s="1185"/>
      <c r="G91" s="316" t="e">
        <f t="shared" si="13"/>
        <v>#DIV/0!</v>
      </c>
      <c r="H91" s="5" t="s">
        <v>280</v>
      </c>
      <c r="I91" s="28"/>
      <c r="J91" s="28"/>
      <c r="K91" s="28" t="s">
        <v>357</v>
      </c>
      <c r="L91" s="269" t="e">
        <f t="shared" si="12"/>
        <v>#DIV/0!</v>
      </c>
    </row>
    <row r="92" spans="2:12" x14ac:dyDescent="0.2">
      <c r="B92" s="21"/>
      <c r="C92" s="299" t="s">
        <v>689</v>
      </c>
      <c r="D92" s="4" t="s">
        <v>281</v>
      </c>
      <c r="E92" s="4" t="s">
        <v>7</v>
      </c>
      <c r="F92" s="1185"/>
      <c r="G92" s="316" t="e">
        <f t="shared" si="13"/>
        <v>#DIV/0!</v>
      </c>
      <c r="H92" s="5" t="s">
        <v>280</v>
      </c>
      <c r="I92" s="28"/>
      <c r="J92" s="28"/>
      <c r="K92" s="28" t="s">
        <v>358</v>
      </c>
      <c r="L92" s="269" t="e">
        <f t="shared" si="12"/>
        <v>#DIV/0!</v>
      </c>
    </row>
    <row r="93" spans="2:12" x14ac:dyDescent="0.2">
      <c r="B93" s="22"/>
      <c r="C93" s="300" t="s">
        <v>690</v>
      </c>
      <c r="D93" s="18" t="s">
        <v>42</v>
      </c>
      <c r="E93" s="18" t="s">
        <v>7</v>
      </c>
      <c r="F93" s="1186"/>
      <c r="G93" s="316" t="e">
        <f t="shared" si="13"/>
        <v>#DIV/0!</v>
      </c>
      <c r="H93" s="5" t="s">
        <v>280</v>
      </c>
      <c r="I93" s="28"/>
      <c r="J93" s="28"/>
      <c r="K93" s="28" t="s">
        <v>359</v>
      </c>
      <c r="L93" s="269" t="e">
        <f t="shared" si="12"/>
        <v>#DIV/0!</v>
      </c>
    </row>
    <row r="94" spans="2:12" ht="11.25" customHeight="1" x14ac:dyDescent="0.2">
      <c r="B94" s="181"/>
      <c r="C94" s="301"/>
      <c r="D94" s="181"/>
      <c r="E94" s="181"/>
      <c r="F94" s="181"/>
      <c r="G94" s="4"/>
      <c r="H94" s="5"/>
      <c r="I94" s="28"/>
      <c r="J94" s="28"/>
      <c r="K94" s="28"/>
      <c r="L94" s="269"/>
    </row>
    <row r="95" spans="2:12" ht="11.25" customHeight="1" x14ac:dyDescent="0.2">
      <c r="B95" s="23"/>
      <c r="C95" s="270" t="s">
        <v>399</v>
      </c>
      <c r="D95" s="19" t="s">
        <v>559</v>
      </c>
      <c r="E95" s="19" t="s">
        <v>7</v>
      </c>
      <c r="F95" s="809">
        <f>SUM(F96:F97)</f>
        <v>0</v>
      </c>
      <c r="G95" s="38"/>
      <c r="H95" s="5" t="s">
        <v>558</v>
      </c>
      <c r="I95" s="28"/>
      <c r="J95" s="28"/>
      <c r="K95" s="28" t="s">
        <v>556</v>
      </c>
      <c r="L95" s="269" t="e">
        <f>+F95/F$21</f>
        <v>#DIV/0!</v>
      </c>
    </row>
    <row r="96" spans="2:12" ht="11.25" customHeight="1" x14ac:dyDescent="0.2">
      <c r="B96" s="20"/>
      <c r="C96" s="271" t="s">
        <v>563</v>
      </c>
      <c r="D96" s="17" t="s">
        <v>560</v>
      </c>
      <c r="E96" s="17" t="s">
        <v>7</v>
      </c>
      <c r="F96" s="1184"/>
      <c r="G96" s="316" t="e">
        <f>F96/$F$95</f>
        <v>#DIV/0!</v>
      </c>
      <c r="H96" s="5" t="s">
        <v>558</v>
      </c>
      <c r="I96" s="28"/>
      <c r="J96" s="28"/>
      <c r="K96" s="28" t="s">
        <v>557</v>
      </c>
      <c r="L96" s="269" t="e">
        <f>+F96/F$21</f>
        <v>#DIV/0!</v>
      </c>
    </row>
    <row r="97" spans="2:12" ht="11.25" customHeight="1" x14ac:dyDescent="0.2">
      <c r="B97" s="22"/>
      <c r="C97" s="272" t="s">
        <v>564</v>
      </c>
      <c r="D97" s="18" t="s">
        <v>561</v>
      </c>
      <c r="E97" s="18" t="s">
        <v>7</v>
      </c>
      <c r="F97" s="1186"/>
      <c r="G97" s="316" t="e">
        <f>F97/$F$95</f>
        <v>#DIV/0!</v>
      </c>
      <c r="H97" s="5" t="s">
        <v>558</v>
      </c>
      <c r="I97" s="28"/>
      <c r="J97" s="28"/>
      <c r="K97" s="28" t="s">
        <v>562</v>
      </c>
      <c r="L97" s="269" t="e">
        <f>+F97/F$21</f>
        <v>#DIV/0!</v>
      </c>
    </row>
    <row r="98" spans="2:12" ht="11.25" customHeight="1" x14ac:dyDescent="0.2">
      <c r="B98" s="181"/>
      <c r="C98" s="301"/>
      <c r="D98" s="181"/>
      <c r="E98" s="181"/>
      <c r="F98" s="181"/>
      <c r="G98" s="4"/>
      <c r="H98" s="5"/>
      <c r="I98" s="28"/>
      <c r="J98" s="28"/>
      <c r="K98" s="28"/>
      <c r="L98" s="269"/>
    </row>
    <row r="99" spans="2:12" ht="39" customHeight="1" x14ac:dyDescent="0.2">
      <c r="B99" s="302"/>
      <c r="C99" s="1166" t="s">
        <v>100</v>
      </c>
      <c r="D99" s="1167"/>
      <c r="E99" s="1168"/>
      <c r="F99" s="1193"/>
      <c r="G99" s="1194"/>
      <c r="H99" s="1194"/>
      <c r="I99" s="1194"/>
      <c r="J99" s="1194"/>
      <c r="K99" s="1194"/>
      <c r="L99" s="1195"/>
    </row>
    <row r="100" spans="2:12" ht="39" customHeight="1" x14ac:dyDescent="0.2">
      <c r="B100" s="107"/>
      <c r="C100" s="1148" t="s">
        <v>101</v>
      </c>
      <c r="D100" s="1149" t="e">
        <f t="shared" ref="D100:D111" si="14">+D101/3</f>
        <v>#REF!</v>
      </c>
      <c r="E100" s="1150"/>
      <c r="F100" s="1196"/>
      <c r="G100" s="1197"/>
      <c r="H100" s="1197"/>
      <c r="I100" s="1197"/>
      <c r="J100" s="1197"/>
      <c r="K100" s="1197"/>
      <c r="L100" s="1198"/>
    </row>
    <row r="101" spans="2:12" ht="39" customHeight="1" x14ac:dyDescent="0.2">
      <c r="B101" s="107"/>
      <c r="C101" s="1148" t="s">
        <v>102</v>
      </c>
      <c r="D101" s="1149" t="e">
        <f t="shared" si="14"/>
        <v>#REF!</v>
      </c>
      <c r="E101" s="1150"/>
      <c r="F101" s="1196"/>
      <c r="G101" s="1197"/>
      <c r="H101" s="1197"/>
      <c r="I101" s="1197"/>
      <c r="J101" s="1197"/>
      <c r="K101" s="1197"/>
      <c r="L101" s="1198"/>
    </row>
    <row r="102" spans="2:12" ht="39" customHeight="1" x14ac:dyDescent="0.2">
      <c r="B102" s="107"/>
      <c r="C102" s="1148" t="s">
        <v>103</v>
      </c>
      <c r="D102" s="1149" t="e">
        <f t="shared" si="14"/>
        <v>#REF!</v>
      </c>
      <c r="E102" s="1150"/>
      <c r="F102" s="1196"/>
      <c r="G102" s="1197"/>
      <c r="H102" s="1197"/>
      <c r="I102" s="1197"/>
      <c r="J102" s="1197"/>
      <c r="K102" s="1197"/>
      <c r="L102" s="1198"/>
    </row>
    <row r="103" spans="2:12" ht="39" customHeight="1" x14ac:dyDescent="0.2">
      <c r="B103" s="107"/>
      <c r="C103" s="1148" t="s">
        <v>370</v>
      </c>
      <c r="D103" s="1149" t="e">
        <f t="shared" si="14"/>
        <v>#REF!</v>
      </c>
      <c r="E103" s="1150"/>
      <c r="F103" s="1196"/>
      <c r="G103" s="1197"/>
      <c r="H103" s="1197"/>
      <c r="I103" s="1197"/>
      <c r="J103" s="1197"/>
      <c r="K103" s="1197"/>
      <c r="L103" s="1198"/>
    </row>
    <row r="104" spans="2:12" ht="39" customHeight="1" x14ac:dyDescent="0.2">
      <c r="B104" s="107"/>
      <c r="C104" s="1148" t="s">
        <v>186</v>
      </c>
      <c r="D104" s="1149" t="e">
        <f t="shared" si="14"/>
        <v>#REF!</v>
      </c>
      <c r="E104" s="1150"/>
      <c r="F104" s="1196"/>
      <c r="G104" s="1197"/>
      <c r="H104" s="1197"/>
      <c r="I104" s="1197"/>
      <c r="J104" s="1197"/>
      <c r="K104" s="1197"/>
      <c r="L104" s="1198"/>
    </row>
    <row r="105" spans="2:12" ht="39" customHeight="1" x14ac:dyDescent="0.2">
      <c r="B105" s="107"/>
      <c r="C105" s="1148" t="s">
        <v>187</v>
      </c>
      <c r="D105" s="1149" t="e">
        <f>+#REF!/3</f>
        <v>#REF!</v>
      </c>
      <c r="E105" s="1150"/>
      <c r="F105" s="1196"/>
      <c r="G105" s="1197"/>
      <c r="H105" s="1197"/>
      <c r="I105" s="1197"/>
      <c r="J105" s="1197"/>
      <c r="K105" s="1197"/>
      <c r="L105" s="1198"/>
    </row>
    <row r="106" spans="2:12" ht="39" customHeight="1" x14ac:dyDescent="0.2">
      <c r="B106" s="107"/>
      <c r="C106" s="1148" t="s">
        <v>188</v>
      </c>
      <c r="D106" s="1149">
        <f>+D108/3</f>
        <v>0</v>
      </c>
      <c r="E106" s="1150"/>
      <c r="F106" s="1196"/>
      <c r="G106" s="1197"/>
      <c r="H106" s="1197"/>
      <c r="I106" s="1197"/>
      <c r="J106" s="1197"/>
      <c r="K106" s="1197"/>
      <c r="L106" s="1198"/>
    </row>
    <row r="107" spans="2:12" ht="39" customHeight="1" x14ac:dyDescent="0.2">
      <c r="B107" s="107"/>
      <c r="C107" s="1148" t="s">
        <v>410</v>
      </c>
      <c r="D107" s="1149">
        <f>+D109/3</f>
        <v>0</v>
      </c>
      <c r="E107" s="1150"/>
      <c r="F107" s="1196"/>
      <c r="G107" s="1197"/>
      <c r="H107" s="1197"/>
      <c r="I107" s="1197"/>
      <c r="J107" s="1197"/>
      <c r="K107" s="1197"/>
      <c r="L107" s="1198"/>
    </row>
    <row r="108" spans="2:12" ht="39" customHeight="1" x14ac:dyDescent="0.2">
      <c r="B108" s="107"/>
      <c r="C108" s="1148" t="s">
        <v>189</v>
      </c>
      <c r="D108" s="1149">
        <f>+D109/3</f>
        <v>0</v>
      </c>
      <c r="E108" s="1150"/>
      <c r="F108" s="1196"/>
      <c r="G108" s="1197"/>
      <c r="H108" s="1197"/>
      <c r="I108" s="1197"/>
      <c r="J108" s="1197"/>
      <c r="K108" s="1197"/>
      <c r="L108" s="1198"/>
    </row>
    <row r="109" spans="2:12" ht="39" customHeight="1" x14ac:dyDescent="0.2">
      <c r="B109" s="106"/>
      <c r="C109" s="1148" t="s">
        <v>104</v>
      </c>
      <c r="D109" s="1149">
        <f t="shared" si="14"/>
        <v>0</v>
      </c>
      <c r="E109" s="1150"/>
      <c r="F109" s="1196"/>
      <c r="G109" s="1197"/>
      <c r="H109" s="1197"/>
      <c r="I109" s="1197"/>
      <c r="J109" s="1197"/>
      <c r="K109" s="1197"/>
      <c r="L109" s="1198"/>
    </row>
    <row r="110" spans="2:12" ht="39" customHeight="1" x14ac:dyDescent="0.2">
      <c r="B110" s="106"/>
      <c r="C110" s="1148" t="s">
        <v>105</v>
      </c>
      <c r="D110" s="1149">
        <f t="shared" si="14"/>
        <v>0</v>
      </c>
      <c r="E110" s="1150"/>
      <c r="F110" s="1196"/>
      <c r="G110" s="1197"/>
      <c r="H110" s="1197"/>
      <c r="I110" s="1197"/>
      <c r="J110" s="1197"/>
      <c r="K110" s="1197"/>
      <c r="L110" s="1198"/>
    </row>
    <row r="111" spans="2:12" ht="38.25" customHeight="1" x14ac:dyDescent="0.2">
      <c r="B111" s="107"/>
      <c r="C111" s="1148" t="s">
        <v>106</v>
      </c>
      <c r="D111" s="1149">
        <f t="shared" si="14"/>
        <v>0</v>
      </c>
      <c r="E111" s="1150"/>
      <c r="F111" s="1196"/>
      <c r="G111" s="1197"/>
      <c r="H111" s="1197"/>
      <c r="I111" s="1197"/>
      <c r="J111" s="1197"/>
      <c r="K111" s="1197"/>
      <c r="L111" s="1198"/>
    </row>
    <row r="112" spans="2:12" ht="39" customHeight="1" x14ac:dyDescent="0.2">
      <c r="B112" s="108"/>
      <c r="C112" s="1154" t="s">
        <v>107</v>
      </c>
      <c r="D112" s="1155">
        <f>+F113/3</f>
        <v>0</v>
      </c>
      <c r="E112" s="1156"/>
      <c r="F112" s="1199"/>
      <c r="G112" s="1200"/>
      <c r="H112" s="1200"/>
      <c r="I112" s="1200"/>
      <c r="J112" s="1200"/>
      <c r="K112" s="1200"/>
      <c r="L112" s="1201"/>
    </row>
  </sheetData>
  <sheetProtection selectLockedCells="1"/>
  <mergeCells count="38">
    <mergeCell ref="F4:L4"/>
    <mergeCell ref="D4:E4"/>
    <mergeCell ref="C101:E101"/>
    <mergeCell ref="F101:L101"/>
    <mergeCell ref="D5:L5"/>
    <mergeCell ref="D6:L6"/>
    <mergeCell ref="D9:L9"/>
    <mergeCell ref="D7:L7"/>
    <mergeCell ref="D8:L8"/>
    <mergeCell ref="H17:J17"/>
    <mergeCell ref="C99:E99"/>
    <mergeCell ref="F99:L99"/>
    <mergeCell ref="C100:E100"/>
    <mergeCell ref="F100:L100"/>
    <mergeCell ref="K13:L13"/>
    <mergeCell ref="C56:D56"/>
    <mergeCell ref="C107:E107"/>
    <mergeCell ref="F107:L107"/>
    <mergeCell ref="C102:E102"/>
    <mergeCell ref="F102:L102"/>
    <mergeCell ref="C103:E103"/>
    <mergeCell ref="F103:L103"/>
    <mergeCell ref="C104:E104"/>
    <mergeCell ref="F104:L104"/>
    <mergeCell ref="C105:E105"/>
    <mergeCell ref="F105:L105"/>
    <mergeCell ref="C106:E106"/>
    <mergeCell ref="F106:L106"/>
    <mergeCell ref="C111:E111"/>
    <mergeCell ref="F111:L111"/>
    <mergeCell ref="C112:E112"/>
    <mergeCell ref="F112:L112"/>
    <mergeCell ref="C108:E108"/>
    <mergeCell ref="F108:L108"/>
    <mergeCell ref="C109:E109"/>
    <mergeCell ref="F109:L109"/>
    <mergeCell ref="C110:E110"/>
    <mergeCell ref="F110:L110"/>
  </mergeCells>
  <conditionalFormatting sqref="F99:L112">
    <cfRule type="cellIs" dxfId="3" priority="2" operator="equal">
      <formula>0</formula>
    </cfRule>
  </conditionalFormatting>
  <conditionalFormatting sqref="K13">
    <cfRule type="cellIs" dxfId="0" priority="1" stopIfTrue="1" operator="notEqual">
      <formula>$F$12</formula>
    </cfRule>
  </conditionalFormatting>
  <dataValidations count="1">
    <dataValidation type="list" allowBlank="1" showInputMessage="1" showErrorMessage="1" sqref="K13:L13">
      <formula1>$O$12:$O$35</formula1>
    </dataValidation>
  </dataValidations>
  <pageMargins left="0.39370078740157483" right="0.39370078740157483" top="0.98425196850393704" bottom="0.98425196850393704" header="0.39370078740157483" footer="0.39370078740157483"/>
  <pageSetup paperSize="9" scale="84" fitToHeight="2" orientation="portrait" r:id="rId1"/>
  <headerFooter alignWithMargins="0">
    <oddHeader>&amp;L&amp;G</oddHeader>
    <oddFooter>&amp;L&amp;8&amp;G&amp;C&amp;6                                                &amp;D/&amp;F&amp;R&amp;7&amp;G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3" tint="0.59999389629810485"/>
    <pageSetUpPr fitToPage="1"/>
  </sheetPr>
  <dimension ref="A1:W112"/>
  <sheetViews>
    <sheetView topLeftCell="B19" zoomScaleNormal="100" workbookViewId="0">
      <selection activeCell="F49" sqref="F49"/>
    </sheetView>
  </sheetViews>
  <sheetFormatPr baseColWidth="10" defaultColWidth="11.42578125" defaultRowHeight="12" x14ac:dyDescent="0.2"/>
  <cols>
    <col min="1" max="1" width="1.7109375" style="1" customWidth="1"/>
    <col min="2" max="2" width="3.85546875" style="2" customWidth="1"/>
    <col min="3" max="3" width="34.42578125" style="2" customWidth="1"/>
    <col min="4" max="4" width="6.42578125" style="2" customWidth="1"/>
    <col min="5" max="5" width="4.42578125" style="2" bestFit="1" customWidth="1"/>
    <col min="6" max="6" width="10.7109375" style="2" bestFit="1" customWidth="1"/>
    <col min="7" max="7" width="6" style="2" customWidth="1"/>
    <col min="8" max="12" width="9.42578125" style="2" customWidth="1"/>
    <col min="13" max="13" width="2.7109375" style="323" customWidth="1"/>
    <col min="14" max="14" width="11.42578125" style="2" hidden="1" customWidth="1"/>
    <col min="15" max="15" width="27" style="2" hidden="1" customWidth="1"/>
    <col min="16" max="16" width="0.140625" style="2" hidden="1" customWidth="1"/>
    <col min="17" max="17" width="11.5703125" style="2" hidden="1" customWidth="1"/>
    <col min="18" max="18" width="0.28515625" style="2" hidden="1" customWidth="1"/>
    <col min="19" max="19" width="21.42578125" style="2" hidden="1" customWidth="1"/>
    <col min="20" max="20" width="25.140625" style="2" hidden="1" customWidth="1"/>
    <col min="21" max="21" width="35.140625" style="2" hidden="1" customWidth="1"/>
    <col min="22" max="22" width="42.42578125" style="2" hidden="1" customWidth="1"/>
    <col min="23" max="23" width="53.85546875" style="2" customWidth="1"/>
    <col min="24" max="16384" width="11.42578125" style="2"/>
  </cols>
  <sheetData>
    <row r="1" spans="2:22" x14ac:dyDescent="0.2">
      <c r="B1" s="1" t="s">
        <v>629</v>
      </c>
      <c r="L1" s="267" t="str">
        <f>Baukostenkennwerte!L1</f>
        <v>Vorlage 11 (09.08.2022)</v>
      </c>
    </row>
    <row r="2" spans="2:22" ht="11.25" customHeight="1" x14ac:dyDescent="0.2">
      <c r="B2" s="3" t="s">
        <v>332</v>
      </c>
    </row>
    <row r="3" spans="2:22" ht="11.25" customHeight="1" x14ac:dyDescent="0.2"/>
    <row r="4" spans="2:22" ht="11.25" customHeight="1" x14ac:dyDescent="0.2">
      <c r="B4" s="324" t="s">
        <v>368</v>
      </c>
      <c r="C4" s="324"/>
      <c r="D4" s="1162">
        <f>Baukostenkennwerte!D4</f>
        <v>0</v>
      </c>
      <c r="E4" s="1160"/>
      <c r="F4" s="1174">
        <f>Baukostenkennwerte!F4</f>
        <v>0</v>
      </c>
      <c r="G4" s="1174"/>
      <c r="H4" s="1174"/>
      <c r="I4" s="1174"/>
      <c r="J4" s="1174"/>
      <c r="K4" s="1174"/>
      <c r="L4" s="1175"/>
    </row>
    <row r="5" spans="2:22" ht="11.25" customHeight="1" x14ac:dyDescent="0.2">
      <c r="B5" s="324" t="s">
        <v>369</v>
      </c>
      <c r="C5" s="324"/>
      <c r="D5" s="1162">
        <f>Baukostenkennwerte!D5</f>
        <v>0</v>
      </c>
      <c r="E5" s="1160"/>
      <c r="F5" s="1160"/>
      <c r="G5" s="1160"/>
      <c r="H5" s="1160"/>
      <c r="I5" s="1160"/>
      <c r="J5" s="1160"/>
      <c r="K5" s="1160"/>
      <c r="L5" s="1161"/>
    </row>
    <row r="6" spans="2:22" ht="11.25" customHeight="1" x14ac:dyDescent="0.2">
      <c r="B6" s="324" t="s">
        <v>227</v>
      </c>
      <c r="C6" s="324"/>
      <c r="D6" s="1162">
        <f>Baukostenkennwerte!D6</f>
        <v>0</v>
      </c>
      <c r="E6" s="1160"/>
      <c r="F6" s="1160"/>
      <c r="G6" s="1160"/>
      <c r="H6" s="1160"/>
      <c r="I6" s="1160"/>
      <c r="J6" s="1160"/>
      <c r="K6" s="1160"/>
      <c r="L6" s="1161"/>
    </row>
    <row r="7" spans="2:22" ht="11.25" customHeight="1" x14ac:dyDescent="0.2">
      <c r="B7" s="324" t="s">
        <v>68</v>
      </c>
      <c r="C7" s="324"/>
      <c r="D7" s="1162">
        <f>Baukostenkennwerte!D7</f>
        <v>0</v>
      </c>
      <c r="E7" s="1160"/>
      <c r="F7" s="1160"/>
      <c r="G7" s="1160"/>
      <c r="H7" s="1160"/>
      <c r="I7" s="1160"/>
      <c r="J7" s="1160"/>
      <c r="K7" s="1160"/>
      <c r="L7" s="1161"/>
    </row>
    <row r="8" spans="2:22" ht="11.25" customHeight="1" x14ac:dyDescent="0.2">
      <c r="B8" s="324" t="s">
        <v>228</v>
      </c>
      <c r="C8" s="324"/>
      <c r="D8" s="1162">
        <f>Baukostenkennwerte!D8</f>
        <v>0</v>
      </c>
      <c r="E8" s="1160"/>
      <c r="F8" s="1160"/>
      <c r="G8" s="1160"/>
      <c r="H8" s="1160"/>
      <c r="I8" s="1160"/>
      <c r="J8" s="1160"/>
      <c r="K8" s="1160"/>
      <c r="L8" s="1161"/>
    </row>
    <row r="9" spans="2:22" ht="41.25" customHeight="1" x14ac:dyDescent="0.2">
      <c r="B9" s="810" t="s">
        <v>346</v>
      </c>
      <c r="C9" s="810"/>
      <c r="D9" s="1163">
        <f>Baukostenkennwerte!D9</f>
        <v>0</v>
      </c>
      <c r="E9" s="1164"/>
      <c r="F9" s="1164"/>
      <c r="G9" s="1164"/>
      <c r="H9" s="1164"/>
      <c r="I9" s="1164"/>
      <c r="J9" s="1164"/>
      <c r="K9" s="1164"/>
      <c r="L9" s="1165"/>
    </row>
    <row r="10" spans="2:22" ht="7.5" customHeight="1" x14ac:dyDescent="0.2"/>
    <row r="11" spans="2:22" ht="11.25" customHeight="1" x14ac:dyDescent="0.2">
      <c r="B11" s="324" t="s">
        <v>229</v>
      </c>
      <c r="C11" s="324"/>
      <c r="D11" s="325" t="s">
        <v>230</v>
      </c>
      <c r="E11" s="748"/>
      <c r="F11" s="326">
        <f>Baukostenkennwerte!F11</f>
        <v>0</v>
      </c>
      <c r="G11" s="748" t="s">
        <v>231</v>
      </c>
      <c r="H11" s="748"/>
      <c r="I11" s="748"/>
      <c r="J11" s="748" t="s">
        <v>232</v>
      </c>
      <c r="K11" s="326" t="s">
        <v>233</v>
      </c>
      <c r="L11" s="327">
        <f>Baukostenkennwerte!L11</f>
        <v>0</v>
      </c>
    </row>
    <row r="12" spans="2:22" ht="11.25" customHeight="1" x14ac:dyDescent="0.2">
      <c r="B12" s="324" t="s">
        <v>554</v>
      </c>
      <c r="C12" s="324"/>
      <c r="D12" s="325" t="s">
        <v>230</v>
      </c>
      <c r="E12" s="748"/>
      <c r="F12" s="326">
        <f>Baukostenkennwerte!F12</f>
        <v>0</v>
      </c>
      <c r="G12" s="748"/>
      <c r="H12" s="748"/>
      <c r="I12" s="748"/>
      <c r="J12" s="748"/>
      <c r="K12" s="328" t="s">
        <v>234</v>
      </c>
      <c r="L12" s="327">
        <f>Baukostenkennwerte!L12</f>
        <v>0</v>
      </c>
    </row>
    <row r="13" spans="2:22" ht="11.25" customHeight="1" x14ac:dyDescent="0.2">
      <c r="B13" s="324"/>
      <c r="C13" s="324"/>
      <c r="D13" s="324" t="s">
        <v>347</v>
      </c>
      <c r="E13" s="748"/>
      <c r="F13" s="326"/>
      <c r="G13" s="748"/>
      <c r="H13" s="748"/>
      <c r="I13" s="325"/>
      <c r="J13" s="325" t="s">
        <v>233</v>
      </c>
      <c r="K13" s="1176"/>
      <c r="L13" s="1177"/>
      <c r="N13" s="2" t="e">
        <f>(U19-U16)/U16</f>
        <v>#VALUE!</v>
      </c>
      <c r="O13" s="2" t="str">
        <f>"2000 / "&amp;B8_04_INDEX2000</f>
        <v>2000 / 105.1</v>
      </c>
    </row>
    <row r="14" spans="2:22" ht="7.5" customHeight="1" x14ac:dyDescent="0.2">
      <c r="D14" s="268"/>
      <c r="E14" s="268"/>
      <c r="F14" s="268"/>
      <c r="G14" s="268"/>
      <c r="H14" s="268"/>
      <c r="I14" s="268"/>
      <c r="J14" s="268"/>
      <c r="O14" s="2" t="str">
        <f>"2001 / "&amp;B8_04_INDEX2001</f>
        <v>2001 / 110.1</v>
      </c>
    </row>
    <row r="15" spans="2:22" ht="11.25" customHeight="1" x14ac:dyDescent="0.2">
      <c r="C15" s="3" t="s">
        <v>235</v>
      </c>
      <c r="O15" s="2" t="str">
        <f>"2002 / "&amp;B8_04_INDEX2002</f>
        <v>2002 / 110</v>
      </c>
      <c r="U15" s="2" t="s">
        <v>282</v>
      </c>
      <c r="V15" s="2" t="s">
        <v>176</v>
      </c>
    </row>
    <row r="16" spans="2:22" ht="11.25" customHeight="1" x14ac:dyDescent="0.2">
      <c r="B16" s="4" t="s">
        <v>0</v>
      </c>
      <c r="C16" s="4" t="s">
        <v>1</v>
      </c>
      <c r="D16" s="4"/>
      <c r="E16" s="4" t="s">
        <v>2</v>
      </c>
      <c r="F16" s="4" t="s">
        <v>3</v>
      </c>
      <c r="G16" s="4"/>
      <c r="H16" s="5" t="s">
        <v>0</v>
      </c>
      <c r="I16" s="28"/>
      <c r="J16" s="28"/>
      <c r="K16" s="28"/>
      <c r="L16" s="4" t="s">
        <v>236</v>
      </c>
      <c r="O16" s="2" t="str">
        <f>"2003 / "&amp;B8_04_INDEX2003</f>
        <v>2003 / 106.6</v>
      </c>
      <c r="U16" s="2" t="e">
        <f>VLOOKUP(V16,Index!B5:C25,2)</f>
        <v>#VALUE!</v>
      </c>
      <c r="V16" s="2" t="e">
        <f>VALUE(LEFT(B8_04_INJAHR,4))</f>
        <v>#VALUE!</v>
      </c>
    </row>
    <row r="17" spans="2:23" ht="11.25" customHeight="1" x14ac:dyDescent="0.2">
      <c r="B17" s="4"/>
      <c r="C17" s="5" t="s">
        <v>35</v>
      </c>
      <c r="D17" s="4" t="s">
        <v>574</v>
      </c>
      <c r="E17" s="4" t="s">
        <v>4</v>
      </c>
      <c r="F17" s="804">
        <f>Baukostenkennwerte!F17</f>
        <v>0</v>
      </c>
      <c r="G17" s="4"/>
      <c r="H17" s="968">
        <f>Baukostenkennwerte!H17</f>
        <v>0</v>
      </c>
      <c r="I17" s="957"/>
      <c r="J17" s="957"/>
      <c r="K17" s="28" t="s">
        <v>577</v>
      </c>
      <c r="L17" s="269" t="e">
        <f>+F$21/F17</f>
        <v>#DIV/0!</v>
      </c>
      <c r="O17" s="2" t="str">
        <f>"2004 / "&amp;B8_04_INDEX2004</f>
        <v>2004 / 107.6</v>
      </c>
      <c r="U17" s="2" t="s">
        <v>283</v>
      </c>
      <c r="V17" s="2" t="s">
        <v>176</v>
      </c>
    </row>
    <row r="18" spans="2:23" ht="11.25" customHeight="1" x14ac:dyDescent="0.2">
      <c r="B18" s="4"/>
      <c r="C18" s="5" t="s">
        <v>35</v>
      </c>
      <c r="D18" s="4" t="s">
        <v>575</v>
      </c>
      <c r="E18" s="4" t="s">
        <v>4</v>
      </c>
      <c r="F18" s="804">
        <f>Baukostenkennwerte!F18</f>
        <v>0</v>
      </c>
      <c r="G18" s="415" t="s">
        <v>575</v>
      </c>
      <c r="H18" s="515">
        <f>Baukostenkennwerte!H18</f>
        <v>0</v>
      </c>
      <c r="I18" s="415" t="s">
        <v>634</v>
      </c>
      <c r="J18" s="515">
        <f>Baukostenkennwerte!J18</f>
        <v>0</v>
      </c>
      <c r="K18" s="415" t="s">
        <v>635</v>
      </c>
      <c r="L18" s="529">
        <f>Baukostenkennwerte!L18</f>
        <v>0</v>
      </c>
      <c r="N18" s="323"/>
      <c r="O18" s="2" t="str">
        <f>"2005 / "&amp;B8_04_INDEX2005</f>
        <v>2005 / 110.2</v>
      </c>
      <c r="P18" s="323"/>
      <c r="Q18" s="323"/>
      <c r="R18" s="323"/>
      <c r="S18" s="323"/>
      <c r="T18" s="323"/>
      <c r="U18" s="323"/>
      <c r="V18" s="323"/>
      <c r="W18" s="323"/>
    </row>
    <row r="19" spans="2:23" ht="11.25" customHeight="1" x14ac:dyDescent="0.2">
      <c r="B19" s="4"/>
      <c r="C19" s="5" t="s">
        <v>387</v>
      </c>
      <c r="D19" s="4" t="s">
        <v>388</v>
      </c>
      <c r="E19" s="4" t="s">
        <v>182</v>
      </c>
      <c r="F19" s="805">
        <f>B8_04_7WBFP</f>
        <v>0</v>
      </c>
      <c r="G19" s="4"/>
      <c r="H19" s="335"/>
      <c r="I19" s="336"/>
      <c r="J19" s="336"/>
      <c r="K19" s="338" t="s">
        <v>407</v>
      </c>
      <c r="L19" s="269" t="e">
        <f>F23/F19</f>
        <v>#DIV/0!</v>
      </c>
      <c r="O19" s="2" t="str">
        <f>"2006 / "&amp;B8_04_INDEX2006</f>
        <v>2006 / 111.9</v>
      </c>
      <c r="U19" s="2" t="e">
        <f>VLOOKUP(V19,Index!B5:C25,2)</f>
        <v>#VALUE!</v>
      </c>
      <c r="V19" s="2" t="e">
        <f>VALUE(LEFT(K13,4))</f>
        <v>#VALUE!</v>
      </c>
    </row>
    <row r="20" spans="2:23" ht="11.25" customHeight="1" x14ac:dyDescent="0.2">
      <c r="B20" s="4"/>
      <c r="C20" s="5" t="s">
        <v>237</v>
      </c>
      <c r="D20" s="4" t="s">
        <v>17</v>
      </c>
      <c r="E20" s="4" t="s">
        <v>7</v>
      </c>
      <c r="F20" s="13">
        <f>F87</f>
        <v>0</v>
      </c>
      <c r="G20" s="4"/>
      <c r="H20" s="5" t="s">
        <v>238</v>
      </c>
      <c r="I20" s="28"/>
      <c r="J20" s="28"/>
      <c r="K20" s="28" t="s">
        <v>239</v>
      </c>
      <c r="L20" s="269" t="e">
        <f>+F20/F$21</f>
        <v>#DIV/0!</v>
      </c>
      <c r="O20" s="2" t="str">
        <f>"2007 / "&amp;B8_04_INDEX2007</f>
        <v>2007 / 117</v>
      </c>
    </row>
    <row r="21" spans="2:23" ht="11.25" customHeight="1" x14ac:dyDescent="0.2">
      <c r="B21" s="4"/>
      <c r="C21" s="5" t="s">
        <v>348</v>
      </c>
      <c r="D21" s="4" t="s">
        <v>14</v>
      </c>
      <c r="E21" s="4" t="s">
        <v>7</v>
      </c>
      <c r="F21" s="13">
        <f>F22+F23</f>
        <v>0</v>
      </c>
      <c r="G21" s="4"/>
      <c r="H21" s="5" t="s">
        <v>240</v>
      </c>
      <c r="I21" s="28"/>
      <c r="J21" s="28" t="s">
        <v>241</v>
      </c>
      <c r="K21" s="28"/>
      <c r="L21" s="317" t="e">
        <f>Baukostenkennwerte!L21</f>
        <v>#DIV/0!</v>
      </c>
      <c r="O21" s="2" t="str">
        <f>"2008 / "&amp;B8_04_INDEX2008</f>
        <v>2008 / 121.7</v>
      </c>
    </row>
    <row r="22" spans="2:23" ht="11.25" customHeight="1" x14ac:dyDescent="0.2">
      <c r="B22" s="4"/>
      <c r="C22" s="5" t="s">
        <v>349</v>
      </c>
      <c r="D22" s="4" t="s">
        <v>242</v>
      </c>
      <c r="E22" s="4" t="s">
        <v>7</v>
      </c>
      <c r="F22" s="13">
        <f>Baukostenkennwerte!F22</f>
        <v>0</v>
      </c>
      <c r="G22" s="4"/>
      <c r="H22" s="5" t="s">
        <v>240</v>
      </c>
      <c r="I22" s="28"/>
      <c r="J22" s="28" t="s">
        <v>243</v>
      </c>
      <c r="K22" s="28"/>
      <c r="L22" s="317" t="e">
        <f>Baukostenkennwerte!L22</f>
        <v>#DIV/0!</v>
      </c>
      <c r="O22" s="2" t="str">
        <f>"2009 / "&amp;B8_04_INDEX2009</f>
        <v>2009 / 122.2</v>
      </c>
    </row>
    <row r="23" spans="2:23" ht="11.25" customHeight="1" x14ac:dyDescent="0.2">
      <c r="B23" s="4"/>
      <c r="C23" s="5" t="s">
        <v>350</v>
      </c>
      <c r="D23" s="4" t="s">
        <v>244</v>
      </c>
      <c r="E23" s="4" t="s">
        <v>7</v>
      </c>
      <c r="F23" s="13">
        <f>Baukostenkennwerte!F23</f>
        <v>0</v>
      </c>
      <c r="G23" s="4"/>
      <c r="H23" s="5" t="s">
        <v>240</v>
      </c>
      <c r="I23" s="28"/>
      <c r="J23" s="28" t="s">
        <v>243</v>
      </c>
      <c r="K23" s="28"/>
      <c r="L23" s="317" t="e">
        <f>Baukostenkennwerte!L23</f>
        <v>#DIV/0!</v>
      </c>
      <c r="O23" s="2" t="str">
        <f>"2010 / "&amp;B8_04_INDEX2010</f>
        <v>2010 / 123.6</v>
      </c>
    </row>
    <row r="24" spans="2:23" ht="11.25" customHeight="1" x14ac:dyDescent="0.2">
      <c r="B24" s="4"/>
      <c r="C24" s="5" t="s">
        <v>10</v>
      </c>
      <c r="D24" s="4" t="s">
        <v>11</v>
      </c>
      <c r="E24" s="4" t="s">
        <v>12</v>
      </c>
      <c r="F24" s="13">
        <f>Baukostenkennwerte!F24</f>
        <v>0</v>
      </c>
      <c r="G24" s="4"/>
      <c r="H24" s="5" t="s">
        <v>240</v>
      </c>
      <c r="I24" s="28"/>
      <c r="J24" s="28"/>
      <c r="K24" s="28" t="s">
        <v>245</v>
      </c>
      <c r="L24" s="269" t="e">
        <f>+F24/F$21</f>
        <v>#DIV/0!</v>
      </c>
      <c r="O24" s="2" t="str">
        <f>"2011 / "&amp;B8_04_INDEX2011</f>
        <v>2011 / 125.6</v>
      </c>
    </row>
    <row r="25" spans="2:23" ht="11.25" customHeight="1" x14ac:dyDescent="0.2">
      <c r="B25" s="4"/>
      <c r="C25" s="5" t="s">
        <v>5</v>
      </c>
      <c r="D25" s="4" t="s">
        <v>6</v>
      </c>
      <c r="E25" s="4" t="s">
        <v>7</v>
      </c>
      <c r="F25" s="13">
        <f>Baukostenkennwerte!F25</f>
        <v>0</v>
      </c>
      <c r="G25" s="4"/>
      <c r="H25" s="5" t="s">
        <v>240</v>
      </c>
      <c r="I25" s="28"/>
      <c r="J25" s="28"/>
      <c r="K25" s="28" t="s">
        <v>246</v>
      </c>
      <c r="L25" s="269" t="e">
        <f>+F25/F$21</f>
        <v>#DIV/0!</v>
      </c>
      <c r="O25" s="2" t="str">
        <f>"2012 / "&amp;B8_04_INDEX2012</f>
        <v>2012 / 126.5</v>
      </c>
    </row>
    <row r="26" spans="2:23" ht="11.25" customHeight="1" x14ac:dyDescent="0.2">
      <c r="B26" s="15"/>
      <c r="C26" s="14" t="s">
        <v>247</v>
      </c>
      <c r="D26" s="15" t="s">
        <v>13</v>
      </c>
      <c r="E26" s="15" t="s">
        <v>7</v>
      </c>
      <c r="F26" s="776">
        <f>Baukostenkennwerte!F26</f>
        <v>0</v>
      </c>
      <c r="G26" s="4"/>
      <c r="H26" s="5" t="s">
        <v>240</v>
      </c>
      <c r="I26" s="28"/>
      <c r="J26" s="28"/>
      <c r="K26" s="28" t="s">
        <v>248</v>
      </c>
      <c r="L26" s="269" t="e">
        <f>+F26/F$21</f>
        <v>#DIV/0!</v>
      </c>
      <c r="O26" s="2" t="str">
        <f>"2013 / "&amp;B8_04_INDEX2013</f>
        <v>2013 / 125.7</v>
      </c>
    </row>
    <row r="27" spans="2:23" ht="11.25" customHeight="1" x14ac:dyDescent="0.2">
      <c r="B27" s="4"/>
      <c r="C27" s="5" t="s">
        <v>249</v>
      </c>
      <c r="D27" s="4" t="s">
        <v>250</v>
      </c>
      <c r="E27" s="4" t="s">
        <v>7</v>
      </c>
      <c r="F27" s="13">
        <f>F25-F26</f>
        <v>0</v>
      </c>
      <c r="G27" s="4"/>
      <c r="H27" s="5" t="s">
        <v>240</v>
      </c>
      <c r="I27" s="28"/>
      <c r="J27" s="28"/>
      <c r="K27" s="28" t="s">
        <v>251</v>
      </c>
      <c r="L27" s="269" t="e">
        <f>F27/$F$21</f>
        <v>#DIV/0!</v>
      </c>
      <c r="O27" s="2" t="str">
        <f>"2014 / "&amp;B8_04_INDEX2014</f>
        <v>2014 / 126.3</v>
      </c>
    </row>
    <row r="28" spans="2:23" ht="11.25" customHeight="1" x14ac:dyDescent="0.2">
      <c r="B28" s="4"/>
      <c r="C28" s="5" t="s">
        <v>8</v>
      </c>
      <c r="D28" s="4" t="s">
        <v>9</v>
      </c>
      <c r="E28" s="4" t="s">
        <v>7</v>
      </c>
      <c r="F28" s="13">
        <f>Baukostenkennwerte!F28</f>
        <v>0</v>
      </c>
      <c r="G28" s="4"/>
      <c r="H28" s="5" t="s">
        <v>240</v>
      </c>
      <c r="I28" s="28"/>
      <c r="J28" s="28"/>
      <c r="K28" s="28" t="s">
        <v>252</v>
      </c>
      <c r="L28" s="269" t="e">
        <f>+F28/$F$27</f>
        <v>#DIV/0!</v>
      </c>
      <c r="O28" s="2" t="str">
        <f>"2015 / "&amp;B8_04_INDEX2015</f>
        <v>2015 / 124.8</v>
      </c>
    </row>
    <row r="29" spans="2:23" ht="11.25" customHeight="1" x14ac:dyDescent="0.2">
      <c r="B29" s="4"/>
      <c r="C29" s="5" t="s">
        <v>351</v>
      </c>
      <c r="D29" s="4" t="s">
        <v>15</v>
      </c>
      <c r="E29" s="4" t="s">
        <v>7</v>
      </c>
      <c r="F29" s="13">
        <f>Baukostenkennwerte!F29</f>
        <v>0</v>
      </c>
      <c r="G29" s="4"/>
      <c r="H29" s="5" t="s">
        <v>240</v>
      </c>
      <c r="I29" s="28"/>
      <c r="J29" s="28"/>
      <c r="K29" s="28" t="s">
        <v>253</v>
      </c>
      <c r="L29" s="269" t="e">
        <f t="shared" ref="L29:L38" si="0">+F29/F$21</f>
        <v>#DIV/0!</v>
      </c>
      <c r="O29" s="2" t="str">
        <f>"2016 / "&amp;B8_04_INDEX2016</f>
        <v>2016 / 122.6</v>
      </c>
    </row>
    <row r="30" spans="2:23" ht="11.25" customHeight="1" x14ac:dyDescent="0.2">
      <c r="B30" s="15"/>
      <c r="C30" s="14" t="s">
        <v>394</v>
      </c>
      <c r="D30" s="15" t="s">
        <v>372</v>
      </c>
      <c r="E30" s="15" t="s">
        <v>7</v>
      </c>
      <c r="F30" s="776">
        <f>Baukostenkennwerte!F30</f>
        <v>0</v>
      </c>
      <c r="G30" s="4"/>
      <c r="H30" s="5" t="s">
        <v>409</v>
      </c>
      <c r="I30" s="28"/>
      <c r="J30" s="28"/>
      <c r="K30" s="28" t="s">
        <v>395</v>
      </c>
      <c r="L30" s="269" t="e">
        <f t="shared" si="0"/>
        <v>#DIV/0!</v>
      </c>
      <c r="O30" s="2" t="str">
        <f>"2017 / "&amp;B8_04_INDEX2017</f>
        <v>2017 / 122.6</v>
      </c>
    </row>
    <row r="31" spans="2:23" ht="11.25" customHeight="1" x14ac:dyDescent="0.2">
      <c r="B31" s="23"/>
      <c r="C31" s="270" t="s">
        <v>36</v>
      </c>
      <c r="D31" s="19" t="s">
        <v>26</v>
      </c>
      <c r="E31" s="19" t="s">
        <v>7</v>
      </c>
      <c r="F31" s="809">
        <f>SUM(F32:F34)</f>
        <v>0</v>
      </c>
      <c r="G31" s="38"/>
      <c r="H31" s="5" t="s">
        <v>409</v>
      </c>
      <c r="I31" s="28"/>
      <c r="J31" s="28"/>
      <c r="K31" s="28" t="s">
        <v>254</v>
      </c>
      <c r="L31" s="269" t="e">
        <f t="shared" si="0"/>
        <v>#DIV/0!</v>
      </c>
      <c r="O31" s="2" t="str">
        <f>"2018 / "&amp;B8_04_INDEX2018</f>
        <v>2018 / 122.9</v>
      </c>
    </row>
    <row r="32" spans="2:23" ht="11.25" customHeight="1" x14ac:dyDescent="0.2">
      <c r="B32" s="20"/>
      <c r="C32" s="271" t="s">
        <v>396</v>
      </c>
      <c r="D32" s="17" t="s">
        <v>374</v>
      </c>
      <c r="E32" s="17" t="s">
        <v>7</v>
      </c>
      <c r="F32" s="806">
        <f>Baukostenkennwerte!F32</f>
        <v>0</v>
      </c>
      <c r="G32" s="38"/>
      <c r="H32" s="5" t="s">
        <v>409</v>
      </c>
      <c r="I32" s="28"/>
      <c r="J32" s="28"/>
      <c r="K32" s="28" t="s">
        <v>401</v>
      </c>
      <c r="L32" s="269" t="e">
        <f t="shared" si="0"/>
        <v>#DIV/0!</v>
      </c>
      <c r="O32" s="2" t="str">
        <f>"2019 / "&amp;B8_04_INDEX2019</f>
        <v>2019 / 124</v>
      </c>
    </row>
    <row r="33" spans="2:15" ht="11.25" customHeight="1" x14ac:dyDescent="0.2">
      <c r="B33" s="21"/>
      <c r="C33" s="339" t="s">
        <v>397</v>
      </c>
      <c r="D33" s="4" t="s">
        <v>376</v>
      </c>
      <c r="E33" s="4" t="s">
        <v>7</v>
      </c>
      <c r="F33" s="164">
        <f>Baukostenkennwerte!F33</f>
        <v>0</v>
      </c>
      <c r="G33" s="38"/>
      <c r="H33" s="5" t="s">
        <v>409</v>
      </c>
      <c r="I33" s="28"/>
      <c r="J33" s="28"/>
      <c r="K33" s="28" t="s">
        <v>402</v>
      </c>
      <c r="L33" s="269" t="e">
        <f t="shared" si="0"/>
        <v>#DIV/0!</v>
      </c>
      <c r="O33" s="2" t="str">
        <f>"2020 / "&amp;B8_04_INDEX2020</f>
        <v>2020 / 123.9</v>
      </c>
    </row>
    <row r="34" spans="2:15" ht="11.25" customHeight="1" x14ac:dyDescent="0.2">
      <c r="B34" s="22"/>
      <c r="C34" s="272" t="s">
        <v>398</v>
      </c>
      <c r="D34" s="18" t="s">
        <v>378</v>
      </c>
      <c r="E34" s="18" t="s">
        <v>7</v>
      </c>
      <c r="F34" s="807">
        <f>Baukostenkennwerte!F34</f>
        <v>0</v>
      </c>
      <c r="G34" s="38"/>
      <c r="H34" s="5" t="s">
        <v>409</v>
      </c>
      <c r="I34" s="28"/>
      <c r="J34" s="273" t="e">
        <f>F34/(F34+F33)</f>
        <v>#DIV/0!</v>
      </c>
      <c r="K34" s="274" t="s">
        <v>400</v>
      </c>
      <c r="L34" s="269" t="e">
        <f>+F34/F$21</f>
        <v>#DIV/0!</v>
      </c>
      <c r="O34" s="2" t="str">
        <f>"2021 / "&amp;B8_04_INDEX2021</f>
        <v>2021 / 125.3</v>
      </c>
    </row>
    <row r="35" spans="2:15" ht="11.25" customHeight="1" x14ac:dyDescent="0.2">
      <c r="B35" s="16"/>
      <c r="C35" s="275" t="s">
        <v>399</v>
      </c>
      <c r="D35" s="16" t="s">
        <v>384</v>
      </c>
      <c r="E35" s="16" t="s">
        <v>7</v>
      </c>
      <c r="F35" s="808">
        <f>F95</f>
        <v>0</v>
      </c>
      <c r="G35" s="4"/>
      <c r="H35" s="5" t="s">
        <v>409</v>
      </c>
      <c r="I35" s="28"/>
      <c r="J35" s="28"/>
      <c r="K35" s="28" t="s">
        <v>403</v>
      </c>
      <c r="L35" s="269" t="e">
        <f t="shared" si="0"/>
        <v>#DIV/0!</v>
      </c>
      <c r="O35" s="2" t="str">
        <f>"2022 / "&amp;B8_04_INDEX2022</f>
        <v>2022 / 133.7</v>
      </c>
    </row>
    <row r="36" spans="2:15" ht="11.25" customHeight="1" x14ac:dyDescent="0.25">
      <c r="B36" s="4"/>
      <c r="C36" s="5" t="s">
        <v>255</v>
      </c>
      <c r="D36" s="4" t="s">
        <v>123</v>
      </c>
      <c r="E36" s="4" t="s">
        <v>7</v>
      </c>
      <c r="F36" s="13">
        <f>Baukostenkennwerte!F36</f>
        <v>0</v>
      </c>
      <c r="G36" s="4"/>
      <c r="H36" s="5" t="s">
        <v>256</v>
      </c>
      <c r="I36" s="28"/>
      <c r="J36" s="28"/>
      <c r="K36" s="4" t="s">
        <v>257</v>
      </c>
      <c r="L36" s="269" t="e">
        <f t="shared" si="0"/>
        <v>#DIV/0!</v>
      </c>
    </row>
    <row r="37" spans="2:15" ht="11.25" customHeight="1" x14ac:dyDescent="0.2">
      <c r="B37" s="4"/>
      <c r="C37" s="5" t="s">
        <v>404</v>
      </c>
      <c r="D37" s="4" t="s">
        <v>385</v>
      </c>
      <c r="E37" s="4" t="s">
        <v>182</v>
      </c>
      <c r="F37" s="13">
        <f>Baukostenkennwerte!F37</f>
        <v>0</v>
      </c>
      <c r="G37" s="4"/>
      <c r="H37" s="5" t="s">
        <v>601</v>
      </c>
      <c r="I37" s="28"/>
      <c r="J37" s="28"/>
      <c r="K37" s="4" t="s">
        <v>406</v>
      </c>
      <c r="L37" s="269" t="e">
        <f t="shared" si="0"/>
        <v>#DIV/0!</v>
      </c>
    </row>
    <row r="38" spans="2:15" ht="11.25" customHeight="1" x14ac:dyDescent="0.2">
      <c r="B38" s="4"/>
      <c r="C38" s="5" t="s">
        <v>705</v>
      </c>
      <c r="D38" s="4" t="s">
        <v>386</v>
      </c>
      <c r="E38" s="4" t="s">
        <v>258</v>
      </c>
      <c r="F38" s="13">
        <f>Baukostenkennwerte!F38</f>
        <v>0</v>
      </c>
      <c r="G38" s="4"/>
      <c r="H38" s="5" t="s">
        <v>409</v>
      </c>
      <c r="I38" s="28"/>
      <c r="J38" s="28"/>
      <c r="K38" s="4" t="s">
        <v>405</v>
      </c>
      <c r="L38" s="269" t="e">
        <f t="shared" si="0"/>
        <v>#DIV/0!</v>
      </c>
    </row>
    <row r="39" spans="2:15" ht="11.25" customHeight="1" x14ac:dyDescent="0.2">
      <c r="B39" s="4"/>
      <c r="C39" s="5" t="s">
        <v>259</v>
      </c>
      <c r="D39" s="4" t="s">
        <v>181</v>
      </c>
      <c r="E39" s="4" t="s">
        <v>260</v>
      </c>
      <c r="F39" s="13">
        <f>Baukostenkennwerte!F39</f>
        <v>0</v>
      </c>
      <c r="G39" s="4"/>
      <c r="H39" s="5"/>
      <c r="I39" s="28"/>
      <c r="J39" s="28"/>
      <c r="K39" s="4" t="s">
        <v>261</v>
      </c>
      <c r="L39" s="269" t="e">
        <f>+F39/$F$20</f>
        <v>#DIV/0!</v>
      </c>
    </row>
    <row r="40" spans="2:15" ht="11.25" customHeight="1" x14ac:dyDescent="0.25">
      <c r="B40" s="4"/>
      <c r="C40" s="5" t="s">
        <v>414</v>
      </c>
      <c r="D40" s="4" t="s">
        <v>415</v>
      </c>
      <c r="E40" s="4" t="s">
        <v>260</v>
      </c>
      <c r="F40" s="13">
        <f>Baukostenkennwerte!F40</f>
        <v>0</v>
      </c>
      <c r="G40" s="4"/>
      <c r="H40" s="5"/>
      <c r="I40" s="28"/>
      <c r="J40" s="28"/>
      <c r="K40" s="4" t="s">
        <v>576</v>
      </c>
      <c r="L40" s="269" t="e">
        <f>F40/$F$20</f>
        <v>#DIV/0!</v>
      </c>
    </row>
    <row r="41" spans="2:15" ht="7.5" customHeight="1" x14ac:dyDescent="0.2">
      <c r="B41" s="1"/>
      <c r="C41" s="1"/>
      <c r="D41" s="1"/>
      <c r="E41" s="1"/>
      <c r="F41" s="1"/>
      <c r="G41" s="1"/>
      <c r="H41" s="1"/>
      <c r="I41" s="1"/>
      <c r="J41" s="1"/>
      <c r="K41" s="1"/>
      <c r="L41" s="1"/>
    </row>
    <row r="42" spans="2:15" ht="11.25" customHeight="1" x14ac:dyDescent="0.2">
      <c r="C42" s="3" t="s">
        <v>262</v>
      </c>
    </row>
    <row r="43" spans="2:15" ht="11.25" customHeight="1" x14ac:dyDescent="0.2">
      <c r="B43" s="6" t="s">
        <v>18</v>
      </c>
      <c r="C43" s="6" t="s">
        <v>1</v>
      </c>
      <c r="D43" s="6" t="s">
        <v>263</v>
      </c>
      <c r="E43" s="4" t="s">
        <v>2</v>
      </c>
      <c r="F43" s="4" t="s">
        <v>28</v>
      </c>
      <c r="G43" s="4"/>
      <c r="H43" s="276" t="s">
        <v>264</v>
      </c>
      <c r="I43" s="276" t="s">
        <v>265</v>
      </c>
      <c r="J43" s="276" t="s">
        <v>266</v>
      </c>
      <c r="K43" s="276" t="s">
        <v>267</v>
      </c>
      <c r="L43" s="276" t="s">
        <v>268</v>
      </c>
    </row>
    <row r="44" spans="2:15" ht="11.25" customHeight="1" x14ac:dyDescent="0.2">
      <c r="B44" s="8">
        <v>1</v>
      </c>
      <c r="C44" s="6" t="s">
        <v>269</v>
      </c>
      <c r="D44" s="6" t="s">
        <v>0</v>
      </c>
      <c r="E44" s="4" t="s">
        <v>19</v>
      </c>
      <c r="F44" s="13" t="e">
        <f>Baukostenkennwerte!F44*(1+'Baukostenkenn. mit Teur.'!$N$13)</f>
        <v>#VALUE!</v>
      </c>
      <c r="G44" s="277" t="e">
        <f t="shared" ref="G44:G56" si="1">+F44/F$51</f>
        <v>#VALUE!</v>
      </c>
      <c r="H44" s="269"/>
      <c r="I44" s="278" t="e">
        <f t="shared" ref="I44:I54" si="2">+F44/F$24</f>
        <v>#VALUE!</v>
      </c>
      <c r="J44" s="278" t="e">
        <f t="shared" ref="J44:J54" si="3">+F44/F$21</f>
        <v>#VALUE!</v>
      </c>
      <c r="K44" s="278" t="e">
        <f t="shared" ref="K44:K54" si="4">+F44/F$20</f>
        <v>#VALUE!</v>
      </c>
      <c r="L44" s="278" t="e">
        <f t="shared" ref="L44:L54" si="5">+F44/F$17</f>
        <v>#VALUE!</v>
      </c>
    </row>
    <row r="45" spans="2:15" ht="11.25" customHeight="1" x14ac:dyDescent="0.2">
      <c r="B45" s="8">
        <v>2</v>
      </c>
      <c r="C45" s="6" t="s">
        <v>21</v>
      </c>
      <c r="D45" s="6" t="s">
        <v>0</v>
      </c>
      <c r="E45" s="4" t="s">
        <v>19</v>
      </c>
      <c r="F45" s="13" t="e">
        <f>+F73</f>
        <v>#VALUE!</v>
      </c>
      <c r="G45" s="277" t="e">
        <f t="shared" si="1"/>
        <v>#VALUE!</v>
      </c>
      <c r="H45" s="269"/>
      <c r="I45" s="278" t="e">
        <f t="shared" si="2"/>
        <v>#VALUE!</v>
      </c>
      <c r="J45" s="278" t="e">
        <f t="shared" si="3"/>
        <v>#VALUE!</v>
      </c>
      <c r="K45" s="278" t="e">
        <f t="shared" si="4"/>
        <v>#VALUE!</v>
      </c>
      <c r="L45" s="278" t="e">
        <f t="shared" si="5"/>
        <v>#VALUE!</v>
      </c>
    </row>
    <row r="46" spans="2:15" ht="11.25" customHeight="1" x14ac:dyDescent="0.2">
      <c r="B46" s="8">
        <v>3</v>
      </c>
      <c r="C46" s="6" t="s">
        <v>553</v>
      </c>
      <c r="D46" s="6" t="s">
        <v>0</v>
      </c>
      <c r="E46" s="4" t="s">
        <v>19</v>
      </c>
      <c r="F46" s="13" t="e">
        <f>Baukostenkennwerte!F46*(1+'Baukostenkenn. mit Teur.'!$N$13)</f>
        <v>#VALUE!</v>
      </c>
      <c r="G46" s="277" t="e">
        <f t="shared" si="1"/>
        <v>#VALUE!</v>
      </c>
      <c r="H46" s="279"/>
      <c r="I46" s="278" t="e">
        <f t="shared" si="2"/>
        <v>#VALUE!</v>
      </c>
      <c r="J46" s="278" t="e">
        <f t="shared" si="3"/>
        <v>#VALUE!</v>
      </c>
      <c r="K46" s="278" t="e">
        <f t="shared" si="4"/>
        <v>#VALUE!</v>
      </c>
      <c r="L46" s="278" t="e">
        <f t="shared" si="5"/>
        <v>#VALUE!</v>
      </c>
    </row>
    <row r="47" spans="2:15" ht="11.25" customHeight="1" x14ac:dyDescent="0.2">
      <c r="B47" s="8">
        <v>4</v>
      </c>
      <c r="C47" s="6" t="s">
        <v>546</v>
      </c>
      <c r="D47" s="6" t="s">
        <v>9</v>
      </c>
      <c r="E47" s="4" t="s">
        <v>19</v>
      </c>
      <c r="F47" s="13" t="e">
        <f>Baukostenkennwerte!F47*(1+'Baukostenkenn. mit Teur.'!$N$13)</f>
        <v>#VALUE!</v>
      </c>
      <c r="G47" s="277" t="e">
        <f t="shared" si="1"/>
        <v>#VALUE!</v>
      </c>
      <c r="H47" s="280" t="e">
        <f>+F47/F28</f>
        <v>#VALUE!</v>
      </c>
      <c r="I47" s="281" t="e">
        <f t="shared" si="2"/>
        <v>#VALUE!</v>
      </c>
      <c r="J47" s="278" t="e">
        <f t="shared" si="3"/>
        <v>#VALUE!</v>
      </c>
      <c r="K47" s="278" t="e">
        <f t="shared" si="4"/>
        <v>#VALUE!</v>
      </c>
      <c r="L47" s="278" t="e">
        <f t="shared" si="5"/>
        <v>#VALUE!</v>
      </c>
    </row>
    <row r="48" spans="2:15" ht="11.25" customHeight="1" x14ac:dyDescent="0.2">
      <c r="B48" s="8">
        <v>5</v>
      </c>
      <c r="C48" s="6" t="s">
        <v>24</v>
      </c>
      <c r="D48" s="6" t="s">
        <v>0</v>
      </c>
      <c r="E48" s="4" t="s">
        <v>19</v>
      </c>
      <c r="F48" s="13" t="e">
        <f>Baukostenkennwerte!F48*(1+'Baukostenkenn. mit Teur.'!$N$13)</f>
        <v>#VALUE!</v>
      </c>
      <c r="G48" s="277" t="e">
        <f t="shared" si="1"/>
        <v>#VALUE!</v>
      </c>
      <c r="H48" s="282"/>
      <c r="I48" s="278" t="e">
        <f t="shared" si="2"/>
        <v>#VALUE!</v>
      </c>
      <c r="J48" s="278" t="e">
        <f t="shared" si="3"/>
        <v>#VALUE!</v>
      </c>
      <c r="K48" s="278" t="e">
        <f t="shared" si="4"/>
        <v>#VALUE!</v>
      </c>
      <c r="L48" s="278" t="e">
        <f t="shared" si="5"/>
        <v>#VALUE!</v>
      </c>
    </row>
    <row r="49" spans="2:12" ht="11.25" customHeight="1" x14ac:dyDescent="0.2">
      <c r="B49" s="283" t="s">
        <v>143</v>
      </c>
      <c r="C49" s="284" t="s">
        <v>570</v>
      </c>
      <c r="D49" s="6" t="s">
        <v>0</v>
      </c>
      <c r="E49" s="4" t="s">
        <v>19</v>
      </c>
      <c r="F49" s="13" t="e">
        <f>Baukostenkennwerte!F49*(1+'Baukostenkenn. mit Teur.'!$N$13)</f>
        <v>#VALUE!</v>
      </c>
      <c r="G49" s="277" t="e">
        <f t="shared" si="1"/>
        <v>#VALUE!</v>
      </c>
      <c r="H49" s="269"/>
      <c r="I49" s="278" t="e">
        <f t="shared" si="2"/>
        <v>#VALUE!</v>
      </c>
      <c r="J49" s="278" t="e">
        <f t="shared" si="3"/>
        <v>#VALUE!</v>
      </c>
      <c r="K49" s="278" t="e">
        <f t="shared" si="4"/>
        <v>#VALUE!</v>
      </c>
      <c r="L49" s="278" t="e">
        <f t="shared" si="5"/>
        <v>#VALUE!</v>
      </c>
    </row>
    <row r="50" spans="2:12" ht="11.25" customHeight="1" x14ac:dyDescent="0.2">
      <c r="B50" s="285">
        <v>9</v>
      </c>
      <c r="C50" s="78" t="s">
        <v>549</v>
      </c>
      <c r="D50" s="78" t="s">
        <v>0</v>
      </c>
      <c r="E50" s="15" t="s">
        <v>19</v>
      </c>
      <c r="F50" s="776" t="e">
        <f>Baukostenkennwerte!F50*(1+'Baukostenkenn. mit Teur.'!$N$13)</f>
        <v>#VALUE!</v>
      </c>
      <c r="G50" s="286" t="e">
        <f t="shared" si="1"/>
        <v>#VALUE!</v>
      </c>
      <c r="H50" s="279"/>
      <c r="I50" s="287" t="e">
        <f t="shared" si="2"/>
        <v>#VALUE!</v>
      </c>
      <c r="J50" s="287" t="e">
        <f t="shared" si="3"/>
        <v>#VALUE!</v>
      </c>
      <c r="K50" s="287" t="e">
        <f t="shared" si="4"/>
        <v>#VALUE!</v>
      </c>
      <c r="L50" s="287" t="e">
        <f t="shared" si="5"/>
        <v>#VALUE!</v>
      </c>
    </row>
    <row r="51" spans="2:12" ht="11.25" customHeight="1" x14ac:dyDescent="0.2">
      <c r="B51" s="777"/>
      <c r="C51" s="778" t="s">
        <v>270</v>
      </c>
      <c r="D51" s="779"/>
      <c r="E51" s="779" t="s">
        <v>19</v>
      </c>
      <c r="F51" s="780" t="e">
        <f>SUM(F44:F50)</f>
        <v>#VALUE!</v>
      </c>
      <c r="G51" s="781" t="e">
        <f t="shared" si="1"/>
        <v>#VALUE!</v>
      </c>
      <c r="H51" s="782"/>
      <c r="I51" s="783" t="e">
        <f t="shared" si="2"/>
        <v>#VALUE!</v>
      </c>
      <c r="J51" s="783" t="e">
        <f t="shared" si="3"/>
        <v>#VALUE!</v>
      </c>
      <c r="K51" s="783" t="e">
        <f t="shared" si="4"/>
        <v>#VALUE!</v>
      </c>
      <c r="L51" s="783" t="e">
        <f t="shared" si="5"/>
        <v>#VALUE!</v>
      </c>
    </row>
    <row r="52" spans="2:12" ht="11.25" customHeight="1" x14ac:dyDescent="0.2">
      <c r="B52" s="288" t="s">
        <v>20</v>
      </c>
      <c r="C52" s="289" t="s">
        <v>271</v>
      </c>
      <c r="D52" s="289" t="s">
        <v>6</v>
      </c>
      <c r="E52" s="181" t="s">
        <v>19</v>
      </c>
      <c r="F52" s="784" t="e">
        <f>Baukostenkennwerte!F52*(1+'Baukostenkenn. mit Teur.'!$N$13)</f>
        <v>#VALUE!</v>
      </c>
      <c r="G52" s="313" t="e">
        <f t="shared" si="1"/>
        <v>#VALUE!</v>
      </c>
      <c r="H52" s="314" t="e">
        <f>+F52/F34</f>
        <v>#VALUE!</v>
      </c>
      <c r="I52" s="290" t="e">
        <f t="shared" si="2"/>
        <v>#VALUE!</v>
      </c>
      <c r="J52" s="290" t="e">
        <f t="shared" si="3"/>
        <v>#VALUE!</v>
      </c>
      <c r="K52" s="290" t="e">
        <f t="shared" si="4"/>
        <v>#VALUE!</v>
      </c>
      <c r="L52" s="290" t="e">
        <f t="shared" si="5"/>
        <v>#VALUE!</v>
      </c>
    </row>
    <row r="53" spans="2:12" ht="11.25" customHeight="1" x14ac:dyDescent="0.2">
      <c r="B53" s="777"/>
      <c r="C53" s="778" t="s">
        <v>272</v>
      </c>
      <c r="D53" s="779"/>
      <c r="E53" s="779" t="s">
        <v>19</v>
      </c>
      <c r="F53" s="780" t="e">
        <f>F51+F52</f>
        <v>#VALUE!</v>
      </c>
      <c r="G53" s="781" t="e">
        <f t="shared" si="1"/>
        <v>#VALUE!</v>
      </c>
      <c r="H53" s="782"/>
      <c r="I53" s="783" t="e">
        <f t="shared" si="2"/>
        <v>#VALUE!</v>
      </c>
      <c r="J53" s="783" t="e">
        <f t="shared" si="3"/>
        <v>#VALUE!</v>
      </c>
      <c r="K53" s="783" t="e">
        <f t="shared" si="4"/>
        <v>#VALUE!</v>
      </c>
      <c r="L53" s="783" t="e">
        <f t="shared" si="5"/>
        <v>#VALUE!</v>
      </c>
    </row>
    <row r="54" spans="2:12" ht="11.25" customHeight="1" x14ac:dyDescent="0.2">
      <c r="B54" s="315">
        <v>1</v>
      </c>
      <c r="C54" s="181" t="s">
        <v>273</v>
      </c>
      <c r="D54" s="181"/>
      <c r="E54" s="181" t="s">
        <v>19</v>
      </c>
      <c r="F54" s="318" t="e">
        <f>Baukostenkennwerte!F54*(1+'Baukostenkenn. mit Teur.'!$N$13)</f>
        <v>#VALUE!</v>
      </c>
      <c r="G54" s="313" t="e">
        <f t="shared" si="1"/>
        <v>#VALUE!</v>
      </c>
      <c r="H54" s="314"/>
      <c r="I54" s="290" t="e">
        <f t="shared" si="2"/>
        <v>#VALUE!</v>
      </c>
      <c r="J54" s="290" t="e">
        <f t="shared" si="3"/>
        <v>#VALUE!</v>
      </c>
      <c r="K54" s="290" t="e">
        <f t="shared" si="4"/>
        <v>#VALUE!</v>
      </c>
      <c r="L54" s="290" t="e">
        <f t="shared" si="5"/>
        <v>#VALUE!</v>
      </c>
    </row>
    <row r="55" spans="2:12" ht="11.25" customHeight="1" x14ac:dyDescent="0.2">
      <c r="B55" s="785"/>
      <c r="C55" s="786" t="s">
        <v>352</v>
      </c>
      <c r="D55" s="787"/>
      <c r="E55" s="787"/>
      <c r="F55" s="788"/>
      <c r="G55" s="789"/>
      <c r="H55" s="790"/>
      <c r="I55" s="791"/>
      <c r="J55" s="791"/>
      <c r="K55" s="791"/>
      <c r="L55" s="791"/>
    </row>
    <row r="56" spans="2:12" ht="11.25" customHeight="1" x14ac:dyDescent="0.2">
      <c r="B56" s="792"/>
      <c r="C56" s="1172" t="s">
        <v>353</v>
      </c>
      <c r="D56" s="1173"/>
      <c r="E56" s="793"/>
      <c r="F56" s="794" t="e">
        <f>F53+F54</f>
        <v>#VALUE!</v>
      </c>
      <c r="G56" s="426" t="e">
        <f t="shared" si="1"/>
        <v>#VALUE!</v>
      </c>
      <c r="H56" s="795"/>
      <c r="I56" s="796" t="e">
        <f>+F56/F$24</f>
        <v>#VALUE!</v>
      </c>
      <c r="J56" s="796" t="e">
        <f>+F56/F$21</f>
        <v>#VALUE!</v>
      </c>
      <c r="K56" s="796" t="e">
        <f>+F56/F$20</f>
        <v>#VALUE!</v>
      </c>
      <c r="L56" s="796" t="e">
        <f>+F56/F$17</f>
        <v>#VALUE!</v>
      </c>
    </row>
    <row r="57" spans="2:12" ht="7.5" customHeight="1" x14ac:dyDescent="0.2">
      <c r="B57" s="10"/>
      <c r="C57" s="11"/>
      <c r="D57" s="9"/>
      <c r="E57" s="9"/>
      <c r="F57" s="291"/>
      <c r="G57" s="292"/>
      <c r="H57" s="293"/>
      <c r="I57" s="294"/>
      <c r="J57" s="294"/>
      <c r="K57" s="294"/>
      <c r="L57" s="12"/>
    </row>
    <row r="58" spans="2:12" ht="11.25" customHeight="1" x14ac:dyDescent="0.2">
      <c r="B58" s="6" t="s">
        <v>18</v>
      </c>
      <c r="C58" s="6" t="s">
        <v>1</v>
      </c>
      <c r="D58" s="6" t="s">
        <v>263</v>
      </c>
      <c r="E58" s="4" t="s">
        <v>2</v>
      </c>
      <c r="F58" s="4" t="s">
        <v>28</v>
      </c>
      <c r="G58" s="4"/>
      <c r="H58" s="276" t="s">
        <v>264</v>
      </c>
      <c r="I58" s="276" t="s">
        <v>265</v>
      </c>
      <c r="J58" s="276" t="s">
        <v>266</v>
      </c>
      <c r="K58" s="276" t="s">
        <v>267</v>
      </c>
      <c r="L58" s="276" t="s">
        <v>268</v>
      </c>
    </row>
    <row r="59" spans="2:12" ht="11.25" customHeight="1" x14ac:dyDescent="0.2">
      <c r="B59" s="7">
        <v>20</v>
      </c>
      <c r="C59" s="6" t="s">
        <v>29</v>
      </c>
      <c r="D59" s="6"/>
      <c r="E59" s="4" t="s">
        <v>19</v>
      </c>
      <c r="F59" s="13" t="e">
        <f>Baukostenkennwerte!F59*(1+'Baukostenkenn. mit Teur.'!$N$13)</f>
        <v>#VALUE!</v>
      </c>
      <c r="G59" s="277" t="e">
        <f t="shared" ref="G59:G73" si="6">+F59/F$51</f>
        <v>#VALUE!</v>
      </c>
      <c r="H59" s="269"/>
      <c r="I59" s="278" t="e">
        <f t="shared" ref="I59:I73" si="7">+F59/F$24</f>
        <v>#VALUE!</v>
      </c>
      <c r="J59" s="278" t="e">
        <f t="shared" ref="J59:J73" si="8">+F59/F$21</f>
        <v>#VALUE!</v>
      </c>
      <c r="K59" s="278" t="e">
        <f t="shared" ref="K59:K73" si="9">+F59/F$20</f>
        <v>#VALUE!</v>
      </c>
      <c r="L59" s="278" t="e">
        <f t="shared" ref="L59:L73" si="10">+F59/F$17</f>
        <v>#VALUE!</v>
      </c>
    </row>
    <row r="60" spans="2:12" ht="11.25" customHeight="1" x14ac:dyDescent="0.2">
      <c r="B60" s="8">
        <v>21</v>
      </c>
      <c r="C60" s="6" t="s">
        <v>30</v>
      </c>
      <c r="D60" s="6"/>
      <c r="E60" s="4" t="s">
        <v>19</v>
      </c>
      <c r="F60" s="13" t="e">
        <f>Baukostenkennwerte!F60*(1+'Baukostenkenn. mit Teur.'!$N$13)</f>
        <v>#VALUE!</v>
      </c>
      <c r="G60" s="277" t="e">
        <f t="shared" si="6"/>
        <v>#VALUE!</v>
      </c>
      <c r="H60" s="269"/>
      <c r="I60" s="278" t="e">
        <f t="shared" si="7"/>
        <v>#VALUE!</v>
      </c>
      <c r="J60" s="278" t="e">
        <f t="shared" si="8"/>
        <v>#VALUE!</v>
      </c>
      <c r="K60" s="278" t="e">
        <f t="shared" si="9"/>
        <v>#VALUE!</v>
      </c>
      <c r="L60" s="278" t="e">
        <f t="shared" si="10"/>
        <v>#VALUE!</v>
      </c>
    </row>
    <row r="61" spans="2:12" ht="11.25" customHeight="1" x14ac:dyDescent="0.2">
      <c r="B61" s="8">
        <v>22</v>
      </c>
      <c r="C61" s="6" t="s">
        <v>31</v>
      </c>
      <c r="D61" s="6"/>
      <c r="E61" s="4" t="s">
        <v>19</v>
      </c>
      <c r="F61" s="13" t="e">
        <f>Baukostenkennwerte!F61*(1+'Baukostenkenn. mit Teur.'!$N$13)</f>
        <v>#VALUE!</v>
      </c>
      <c r="G61" s="277" t="e">
        <f t="shared" si="6"/>
        <v>#VALUE!</v>
      </c>
      <c r="H61" s="269"/>
      <c r="I61" s="278" t="e">
        <f t="shared" si="7"/>
        <v>#VALUE!</v>
      </c>
      <c r="J61" s="278" t="e">
        <f t="shared" si="8"/>
        <v>#VALUE!</v>
      </c>
      <c r="K61" s="278" t="e">
        <f t="shared" si="9"/>
        <v>#VALUE!</v>
      </c>
      <c r="L61" s="278" t="e">
        <f t="shared" si="10"/>
        <v>#VALUE!</v>
      </c>
    </row>
    <row r="62" spans="2:12" ht="11.25" customHeight="1" x14ac:dyDescent="0.2">
      <c r="B62" s="8">
        <v>23</v>
      </c>
      <c r="C62" s="6" t="s">
        <v>32</v>
      </c>
      <c r="D62" s="6"/>
      <c r="E62" s="4" t="s">
        <v>19</v>
      </c>
      <c r="F62" s="13" t="e">
        <f>Baukostenkennwerte!F62*(1+'Baukostenkenn. mit Teur.'!$N$13)</f>
        <v>#VALUE!</v>
      </c>
      <c r="G62" s="277" t="e">
        <f t="shared" si="6"/>
        <v>#VALUE!</v>
      </c>
      <c r="H62" s="269"/>
      <c r="I62" s="278" t="e">
        <f t="shared" si="7"/>
        <v>#VALUE!</v>
      </c>
      <c r="J62" s="278" t="e">
        <f t="shared" si="8"/>
        <v>#VALUE!</v>
      </c>
      <c r="K62" s="278" t="e">
        <f t="shared" si="9"/>
        <v>#VALUE!</v>
      </c>
      <c r="L62" s="278" t="e">
        <f t="shared" si="10"/>
        <v>#VALUE!</v>
      </c>
    </row>
    <row r="63" spans="2:12" ht="11.25" customHeight="1" x14ac:dyDescent="0.2">
      <c r="B63" s="8">
        <v>24</v>
      </c>
      <c r="C63" s="36" t="s">
        <v>370</v>
      </c>
      <c r="D63" s="6" t="s">
        <v>274</v>
      </c>
      <c r="E63" s="4" t="s">
        <v>19</v>
      </c>
      <c r="F63" s="13" t="e">
        <f>Baukostenkennwerte!F63*(1+'Baukostenkenn. mit Teur.'!$N$13)</f>
        <v>#VALUE!</v>
      </c>
      <c r="G63" s="277" t="e">
        <f t="shared" si="6"/>
        <v>#VALUE!</v>
      </c>
      <c r="H63" s="295" t="e">
        <f>F63/F39</f>
        <v>#VALUE!</v>
      </c>
      <c r="I63" s="278" t="e">
        <f t="shared" si="7"/>
        <v>#VALUE!</v>
      </c>
      <c r="J63" s="278" t="e">
        <f t="shared" si="8"/>
        <v>#VALUE!</v>
      </c>
      <c r="K63" s="278" t="e">
        <f t="shared" si="9"/>
        <v>#VALUE!</v>
      </c>
      <c r="L63" s="278" t="e">
        <f t="shared" si="10"/>
        <v>#VALUE!</v>
      </c>
    </row>
    <row r="64" spans="2:12" ht="11.25" customHeight="1" x14ac:dyDescent="0.25">
      <c r="B64" s="8"/>
      <c r="C64" s="36" t="s">
        <v>569</v>
      </c>
      <c r="D64" s="4" t="s">
        <v>123</v>
      </c>
      <c r="E64" s="4" t="s">
        <v>19</v>
      </c>
      <c r="F64" s="13" t="e">
        <f>Baukostenkennwerte!F64*(1+'Baukostenkenn. mit Teur.'!$N$13)</f>
        <v>#VALUE!</v>
      </c>
      <c r="G64" s="277" t="e">
        <f>+F64/F$51</f>
        <v>#VALUE!</v>
      </c>
      <c r="H64" s="295" t="e">
        <f>F64/F36</f>
        <v>#VALUE!</v>
      </c>
      <c r="I64" s="278" t="e">
        <f t="shared" si="7"/>
        <v>#VALUE!</v>
      </c>
      <c r="J64" s="278" t="e">
        <f t="shared" si="8"/>
        <v>#VALUE!</v>
      </c>
      <c r="K64" s="278" t="e">
        <f t="shared" si="9"/>
        <v>#VALUE!</v>
      </c>
      <c r="L64" s="278" t="e">
        <f t="shared" si="10"/>
        <v>#VALUE!</v>
      </c>
    </row>
    <row r="65" spans="2:12" ht="11.25" customHeight="1" x14ac:dyDescent="0.2">
      <c r="B65" s="8"/>
      <c r="C65" s="36" t="s">
        <v>187</v>
      </c>
      <c r="D65" s="6" t="s">
        <v>275</v>
      </c>
      <c r="E65" s="4" t="s">
        <v>19</v>
      </c>
      <c r="F65" s="13" t="e">
        <f>Baukostenkennwerte!F65*(1+'Baukostenkenn. mit Teur.'!$N$13)</f>
        <v>#VALUE!</v>
      </c>
      <c r="G65" s="277" t="e">
        <f>+F65/F$51</f>
        <v>#VALUE!</v>
      </c>
      <c r="H65" s="295" t="e">
        <f>F65/$F$38</f>
        <v>#VALUE!</v>
      </c>
      <c r="I65" s="278" t="e">
        <f t="shared" si="7"/>
        <v>#VALUE!</v>
      </c>
      <c r="J65" s="278" t="e">
        <f t="shared" si="8"/>
        <v>#VALUE!</v>
      </c>
      <c r="K65" s="278" t="e">
        <f t="shared" si="9"/>
        <v>#VALUE!</v>
      </c>
      <c r="L65" s="278" t="e">
        <f t="shared" si="10"/>
        <v>#VALUE!</v>
      </c>
    </row>
    <row r="66" spans="2:12" ht="11.25" customHeight="1" x14ac:dyDescent="0.2">
      <c r="B66" s="8">
        <v>25</v>
      </c>
      <c r="C66" s="36" t="s">
        <v>276</v>
      </c>
      <c r="D66" s="6" t="s">
        <v>408</v>
      </c>
      <c r="E66" s="4" t="s">
        <v>19</v>
      </c>
      <c r="F66" s="13" t="e">
        <f>Baukostenkennwerte!F66*(1+'Baukostenkenn. mit Teur.'!$N$13)</f>
        <v>#VALUE!</v>
      </c>
      <c r="G66" s="277" t="e">
        <f t="shared" si="6"/>
        <v>#VALUE!</v>
      </c>
      <c r="H66" s="295" t="e">
        <f>F66/F37</f>
        <v>#VALUE!</v>
      </c>
      <c r="I66" s="278" t="e">
        <f t="shared" si="7"/>
        <v>#VALUE!</v>
      </c>
      <c r="J66" s="278" t="e">
        <f t="shared" si="8"/>
        <v>#VALUE!</v>
      </c>
      <c r="K66" s="278" t="e">
        <f t="shared" si="9"/>
        <v>#VALUE!</v>
      </c>
      <c r="L66" s="278" t="e">
        <f t="shared" si="10"/>
        <v>#VALUE!</v>
      </c>
    </row>
    <row r="67" spans="2:12" ht="11.25" customHeight="1" x14ac:dyDescent="0.25">
      <c r="B67" s="8"/>
      <c r="C67" s="36" t="s">
        <v>411</v>
      </c>
      <c r="D67" s="6" t="s">
        <v>413</v>
      </c>
      <c r="E67" s="4" t="s">
        <v>19</v>
      </c>
      <c r="F67" s="13" t="e">
        <f>Baukostenkennwerte!F67*(1+'Baukostenkenn. mit Teur.'!$N$13)</f>
        <v>#VALUE!</v>
      </c>
      <c r="G67" s="277" t="e">
        <f>+F67/F$51</f>
        <v>#VALUE!</v>
      </c>
      <c r="H67" s="295" t="e">
        <f>F67/$F$40</f>
        <v>#VALUE!</v>
      </c>
      <c r="I67" s="278" t="e">
        <f>+F67/F$24</f>
        <v>#VALUE!</v>
      </c>
      <c r="J67" s="278" t="e">
        <f>+F67/F$21</f>
        <v>#VALUE!</v>
      </c>
      <c r="K67" s="278" t="e">
        <f>+F67/F$20</f>
        <v>#VALUE!</v>
      </c>
      <c r="L67" s="278" t="e">
        <f>+F67/F$17</f>
        <v>#VALUE!</v>
      </c>
    </row>
    <row r="68" spans="2:12" ht="11.25" customHeight="1" x14ac:dyDescent="0.2">
      <c r="B68" s="8"/>
      <c r="C68" s="36" t="s">
        <v>195</v>
      </c>
      <c r="D68" s="6"/>
      <c r="E68" s="4" t="s">
        <v>19</v>
      </c>
      <c r="F68" s="13" t="e">
        <f>Baukostenkennwerte!F68*(1+'Baukostenkenn. mit Teur.'!$N$13)</f>
        <v>#VALUE!</v>
      </c>
      <c r="G68" s="277" t="e">
        <f>+F68/F$51</f>
        <v>#VALUE!</v>
      </c>
      <c r="H68" s="269"/>
      <c r="I68" s="278" t="e">
        <f t="shared" si="7"/>
        <v>#VALUE!</v>
      </c>
      <c r="J68" s="278" t="e">
        <f t="shared" si="8"/>
        <v>#VALUE!</v>
      </c>
      <c r="K68" s="278" t="e">
        <f t="shared" si="9"/>
        <v>#VALUE!</v>
      </c>
      <c r="L68" s="278" t="e">
        <f t="shared" si="10"/>
        <v>#VALUE!</v>
      </c>
    </row>
    <row r="69" spans="2:12" ht="11.25" customHeight="1" x14ac:dyDescent="0.2">
      <c r="B69" s="7">
        <v>26</v>
      </c>
      <c r="C69" s="6" t="s">
        <v>27</v>
      </c>
      <c r="D69" s="6" t="s">
        <v>0</v>
      </c>
      <c r="E69" s="4" t="s">
        <v>19</v>
      </c>
      <c r="F69" s="13" t="e">
        <f>Baukostenkennwerte!F69*(1+'Baukostenkenn. mit Teur.'!$N$13)</f>
        <v>#VALUE!</v>
      </c>
      <c r="G69" s="277" t="e">
        <f t="shared" si="6"/>
        <v>#VALUE!</v>
      </c>
      <c r="H69" s="269"/>
      <c r="I69" s="278" t="e">
        <f t="shared" si="7"/>
        <v>#VALUE!</v>
      </c>
      <c r="J69" s="278" t="e">
        <f t="shared" si="8"/>
        <v>#VALUE!</v>
      </c>
      <c r="K69" s="278" t="e">
        <f t="shared" si="9"/>
        <v>#VALUE!</v>
      </c>
      <c r="L69" s="278" t="e">
        <f t="shared" si="10"/>
        <v>#VALUE!</v>
      </c>
    </row>
    <row r="70" spans="2:12" ht="11.25" customHeight="1" x14ac:dyDescent="0.2">
      <c r="B70" s="7">
        <v>27</v>
      </c>
      <c r="C70" s="6" t="s">
        <v>33</v>
      </c>
      <c r="D70" s="6" t="s">
        <v>0</v>
      </c>
      <c r="E70" s="4" t="s">
        <v>19</v>
      </c>
      <c r="F70" s="13" t="e">
        <f>Baukostenkennwerte!F70*(1+'Baukostenkenn. mit Teur.'!$N$13)</f>
        <v>#VALUE!</v>
      </c>
      <c r="G70" s="277" t="e">
        <f t="shared" si="6"/>
        <v>#VALUE!</v>
      </c>
      <c r="H70" s="269"/>
      <c r="I70" s="278" t="e">
        <f t="shared" si="7"/>
        <v>#VALUE!</v>
      </c>
      <c r="J70" s="278" t="e">
        <f t="shared" si="8"/>
        <v>#VALUE!</v>
      </c>
      <c r="K70" s="278" t="e">
        <f t="shared" si="9"/>
        <v>#VALUE!</v>
      </c>
      <c r="L70" s="278" t="e">
        <f t="shared" si="10"/>
        <v>#VALUE!</v>
      </c>
    </row>
    <row r="71" spans="2:12" ht="11.25" customHeight="1" x14ac:dyDescent="0.2">
      <c r="B71" s="8">
        <v>28</v>
      </c>
      <c r="C71" s="6" t="s">
        <v>34</v>
      </c>
      <c r="D71" s="6" t="s">
        <v>0</v>
      </c>
      <c r="E71" s="4" t="s">
        <v>19</v>
      </c>
      <c r="F71" s="13" t="e">
        <f>Baukostenkennwerte!F71*(1+'Baukostenkenn. mit Teur.'!$N$13)</f>
        <v>#VALUE!</v>
      </c>
      <c r="G71" s="277" t="e">
        <f t="shared" si="6"/>
        <v>#VALUE!</v>
      </c>
      <c r="H71" s="269"/>
      <c r="I71" s="278" t="e">
        <f t="shared" si="7"/>
        <v>#VALUE!</v>
      </c>
      <c r="J71" s="278" t="e">
        <f t="shared" si="8"/>
        <v>#VALUE!</v>
      </c>
      <c r="K71" s="278" t="e">
        <f t="shared" si="9"/>
        <v>#VALUE!</v>
      </c>
      <c r="L71" s="278" t="e">
        <f t="shared" si="10"/>
        <v>#VALUE!</v>
      </c>
    </row>
    <row r="72" spans="2:12" ht="11.25" customHeight="1" x14ac:dyDescent="0.2">
      <c r="B72" s="285">
        <v>29</v>
      </c>
      <c r="C72" s="78" t="s">
        <v>550</v>
      </c>
      <c r="D72" s="78"/>
      <c r="E72" s="15" t="s">
        <v>19</v>
      </c>
      <c r="F72" s="776" t="e">
        <f>Baukostenkennwerte!F72*(1+'Baukostenkenn. mit Teur.'!$N$13)</f>
        <v>#VALUE!</v>
      </c>
      <c r="G72" s="286" t="e">
        <f t="shared" si="6"/>
        <v>#VALUE!</v>
      </c>
      <c r="H72" s="279"/>
      <c r="I72" s="287" t="e">
        <f t="shared" si="7"/>
        <v>#VALUE!</v>
      </c>
      <c r="J72" s="287" t="e">
        <f t="shared" si="8"/>
        <v>#VALUE!</v>
      </c>
      <c r="K72" s="287" t="e">
        <f t="shared" si="9"/>
        <v>#VALUE!</v>
      </c>
      <c r="L72" s="287" t="e">
        <f t="shared" si="10"/>
        <v>#VALUE!</v>
      </c>
    </row>
    <row r="73" spans="2:12" ht="11.25" customHeight="1" x14ac:dyDescent="0.2">
      <c r="B73" s="797"/>
      <c r="C73" s="798" t="s">
        <v>277</v>
      </c>
      <c r="D73" s="799"/>
      <c r="E73" s="799" t="s">
        <v>19</v>
      </c>
      <c r="F73" s="800" t="e">
        <f>SUM(F59:F72)</f>
        <v>#VALUE!</v>
      </c>
      <c r="G73" s="801" t="e">
        <f t="shared" si="6"/>
        <v>#VALUE!</v>
      </c>
      <c r="H73" s="802"/>
      <c r="I73" s="803" t="e">
        <f t="shared" si="7"/>
        <v>#VALUE!</v>
      </c>
      <c r="J73" s="803" t="e">
        <f t="shared" si="8"/>
        <v>#VALUE!</v>
      </c>
      <c r="K73" s="803" t="e">
        <f t="shared" si="9"/>
        <v>#VALUE!</v>
      </c>
      <c r="L73" s="803" t="e">
        <f t="shared" si="10"/>
        <v>#VALUE!</v>
      </c>
    </row>
    <row r="74" spans="2:12" ht="11.25" customHeight="1" x14ac:dyDescent="0.2">
      <c r="B74" s="10"/>
      <c r="C74" s="11"/>
      <c r="D74" s="9"/>
      <c r="E74" s="9"/>
      <c r="F74" s="291"/>
      <c r="G74" s="292"/>
      <c r="H74" s="293"/>
      <c r="I74" s="291"/>
      <c r="J74" s="291"/>
      <c r="K74" s="291"/>
      <c r="L74" s="291"/>
    </row>
    <row r="75" spans="2:12" ht="11.25" customHeight="1" x14ac:dyDescent="0.2">
      <c r="B75" s="3" t="s">
        <v>278</v>
      </c>
      <c r="C75" s="3"/>
    </row>
    <row r="76" spans="2:12" ht="11.25" customHeight="1" x14ac:dyDescent="0.2">
      <c r="C76" s="3"/>
    </row>
    <row r="77" spans="2:12" ht="11.25" customHeight="1" x14ac:dyDescent="0.2">
      <c r="C77" s="3" t="s">
        <v>673</v>
      </c>
    </row>
    <row r="78" spans="2:12" ht="11.25" customHeight="1" x14ac:dyDescent="0.2">
      <c r="B78" s="814" t="s">
        <v>0</v>
      </c>
      <c r="C78" s="815" t="s">
        <v>674</v>
      </c>
      <c r="D78" s="815"/>
      <c r="E78" s="815" t="s">
        <v>2</v>
      </c>
      <c r="F78" s="816" t="s">
        <v>363</v>
      </c>
      <c r="G78" s="815"/>
      <c r="H78" s="816" t="s">
        <v>675</v>
      </c>
      <c r="I78" s="816" t="s">
        <v>676</v>
      </c>
      <c r="J78" s="816" t="s">
        <v>677</v>
      </c>
      <c r="K78" s="816" t="s">
        <v>678</v>
      </c>
      <c r="L78" s="828" t="s">
        <v>679</v>
      </c>
    </row>
    <row r="79" spans="2:12" ht="11.25" customHeight="1" x14ac:dyDescent="0.2">
      <c r="B79" s="817"/>
      <c r="C79" s="818" t="s">
        <v>680</v>
      </c>
      <c r="D79" s="775"/>
      <c r="E79" s="775" t="s">
        <v>19</v>
      </c>
      <c r="F79" s="819" t="e">
        <f>F51-F80</f>
        <v>#VALUE!</v>
      </c>
      <c r="G79" s="820" t="e">
        <f t="shared" ref="G79:G84" si="11">F79/$F$51</f>
        <v>#VALUE!</v>
      </c>
      <c r="H79" s="819">
        <f>F22</f>
        <v>0</v>
      </c>
      <c r="I79" s="423"/>
      <c r="J79" s="819" t="e">
        <f>F79/H79</f>
        <v>#VALUE!</v>
      </c>
      <c r="K79" s="819" t="e">
        <f>F79/F17</f>
        <v>#VALUE!</v>
      </c>
      <c r="L79" s="424"/>
    </row>
    <row r="80" spans="2:12" ht="11.25" customHeight="1" x14ac:dyDescent="0.2">
      <c r="B80" s="817"/>
      <c r="C80" s="821" t="s">
        <v>681</v>
      </c>
      <c r="D80" s="775"/>
      <c r="E80" s="775" t="s">
        <v>19</v>
      </c>
      <c r="F80" s="819" t="e">
        <f>Baukostenkennwerte!F80*(1+'Baukostenkenn. mit Teur.'!$N$13)</f>
        <v>#VALUE!</v>
      </c>
      <c r="G80" s="820" t="e">
        <f t="shared" si="11"/>
        <v>#VALUE!</v>
      </c>
      <c r="H80" s="819">
        <f>F23</f>
        <v>0</v>
      </c>
      <c r="I80" s="423"/>
      <c r="J80" s="819" t="str">
        <f>IF(H80=0," ",F80/H80)</f>
        <v xml:space="preserve"> </v>
      </c>
      <c r="K80" s="425"/>
      <c r="L80" s="424"/>
    </row>
    <row r="81" spans="2:12" ht="11.25" customHeight="1" x14ac:dyDescent="0.2">
      <c r="B81" s="817"/>
      <c r="C81" s="821" t="s">
        <v>642</v>
      </c>
      <c r="D81" s="775"/>
      <c r="E81" s="775" t="s">
        <v>19</v>
      </c>
      <c r="F81" s="822" t="e">
        <f>F79-F80-F82-F83-F84</f>
        <v>#VALUE!</v>
      </c>
      <c r="G81" s="820" t="e">
        <f t="shared" si="11"/>
        <v>#VALUE!</v>
      </c>
      <c r="H81" s="423"/>
      <c r="I81" s="423"/>
      <c r="J81" s="425"/>
      <c r="K81" s="819" t="str">
        <f>IF(F17=0," ",F81/F17)</f>
        <v xml:space="preserve"> </v>
      </c>
      <c r="L81" s="424"/>
    </row>
    <row r="82" spans="2:12" ht="11.25" customHeight="1" x14ac:dyDescent="0.2">
      <c r="B82" s="817"/>
      <c r="C82" s="821" t="s">
        <v>637</v>
      </c>
      <c r="D82" s="775"/>
      <c r="E82" s="775" t="s">
        <v>19</v>
      </c>
      <c r="F82" s="822" t="e">
        <f>Baukostenkennwerte!F82*(1+'Baukostenkenn. mit Teur.'!$N$13)</f>
        <v>#VALUE!</v>
      </c>
      <c r="G82" s="820" t="e">
        <f t="shared" si="11"/>
        <v>#VALUE!</v>
      </c>
      <c r="H82" s="423"/>
      <c r="I82" s="819">
        <f>H18</f>
        <v>0</v>
      </c>
      <c r="J82" s="425"/>
      <c r="K82" s="425"/>
      <c r="L82" s="830" t="str">
        <f>IF(I82=0," ",F82/I82)</f>
        <v xml:space="preserve"> </v>
      </c>
    </row>
    <row r="83" spans="2:12" ht="11.25" customHeight="1" x14ac:dyDescent="0.2">
      <c r="B83" s="817"/>
      <c r="C83" s="821" t="s">
        <v>637</v>
      </c>
      <c r="D83" s="775"/>
      <c r="E83" s="775" t="s">
        <v>19</v>
      </c>
      <c r="F83" s="822" t="e">
        <f>Baukostenkennwerte!F83*(1+'Baukostenkenn. mit Teur.'!$N$13)</f>
        <v>#VALUE!</v>
      </c>
      <c r="G83" s="820" t="e">
        <f t="shared" si="11"/>
        <v>#VALUE!</v>
      </c>
      <c r="H83" s="423"/>
      <c r="I83" s="819">
        <f>J18</f>
        <v>0</v>
      </c>
      <c r="J83" s="425"/>
      <c r="K83" s="425"/>
      <c r="L83" s="830" t="str">
        <f>IF(I83=0," ",F83/I83)</f>
        <v xml:space="preserve"> </v>
      </c>
    </row>
    <row r="84" spans="2:12" ht="11.25" customHeight="1" x14ac:dyDescent="0.2">
      <c r="B84" s="823"/>
      <c r="C84" s="824" t="s">
        <v>638</v>
      </c>
      <c r="D84" s="825"/>
      <c r="E84" s="825" t="s">
        <v>19</v>
      </c>
      <c r="F84" s="826" t="e">
        <f>Baukostenkennwerte!F84*(1+'Baukostenkenn. mit Teur.'!$N$13)</f>
        <v>#VALUE!</v>
      </c>
      <c r="G84" s="827" t="e">
        <f t="shared" si="11"/>
        <v>#VALUE!</v>
      </c>
      <c r="H84" s="427"/>
      <c r="I84" s="829">
        <f>L18</f>
        <v>0</v>
      </c>
      <c r="J84" s="428"/>
      <c r="K84" s="428"/>
      <c r="L84" s="831" t="str">
        <f>IF(I84=0," ",F84/I84)</f>
        <v xml:space="preserve"> </v>
      </c>
    </row>
    <row r="85" spans="2:12" ht="11.25" customHeight="1" x14ac:dyDescent="0.2">
      <c r="C85" s="3"/>
    </row>
    <row r="86" spans="2:12" ht="11.25" customHeight="1" x14ac:dyDescent="0.2">
      <c r="C86" s="3" t="s">
        <v>235</v>
      </c>
    </row>
    <row r="87" spans="2:12" ht="11.25" customHeight="1" x14ac:dyDescent="0.2">
      <c r="B87" s="296"/>
      <c r="C87" s="297" t="s">
        <v>279</v>
      </c>
      <c r="D87" s="182" t="s">
        <v>17</v>
      </c>
      <c r="E87" s="182" t="s">
        <v>7</v>
      </c>
      <c r="F87" s="812">
        <f>SUM(F88:F93)</f>
        <v>0</v>
      </c>
      <c r="G87" s="38"/>
      <c r="H87" s="5" t="s">
        <v>280</v>
      </c>
      <c r="I87" s="28"/>
      <c r="J87" s="28"/>
      <c r="K87" s="28" t="s">
        <v>239</v>
      </c>
      <c r="L87" s="269" t="e">
        <f t="shared" ref="L87:L93" si="12">+F87/F$24</f>
        <v>#DIV/0!</v>
      </c>
    </row>
    <row r="88" spans="2:12" x14ac:dyDescent="0.2">
      <c r="B88" s="199"/>
      <c r="C88" s="298" t="s">
        <v>686</v>
      </c>
      <c r="D88" s="16" t="s">
        <v>37</v>
      </c>
      <c r="E88" s="16" t="s">
        <v>7</v>
      </c>
      <c r="F88" s="811">
        <f>Baukostenkennwerte!F88</f>
        <v>0</v>
      </c>
      <c r="G88" s="316"/>
      <c r="H88" s="5" t="s">
        <v>280</v>
      </c>
      <c r="I88" s="28"/>
      <c r="J88" s="28"/>
      <c r="K88" s="28" t="s">
        <v>239</v>
      </c>
      <c r="L88" s="269" t="e">
        <f t="shared" si="12"/>
        <v>#DIV/0!</v>
      </c>
    </row>
    <row r="89" spans="2:12" x14ac:dyDescent="0.2">
      <c r="B89" s="21"/>
      <c r="C89" s="299" t="s">
        <v>687</v>
      </c>
      <c r="D89" s="4" t="s">
        <v>38</v>
      </c>
      <c r="E89" s="4" t="s">
        <v>7</v>
      </c>
      <c r="F89" s="164">
        <f>Baukostenkennwerte!F89</f>
        <v>0</v>
      </c>
      <c r="G89" s="316"/>
      <c r="H89" s="5" t="s">
        <v>280</v>
      </c>
      <c r="I89" s="28"/>
      <c r="J89" s="28"/>
      <c r="K89" s="28" t="s">
        <v>239</v>
      </c>
      <c r="L89" s="269" t="e">
        <f t="shared" si="12"/>
        <v>#DIV/0!</v>
      </c>
    </row>
    <row r="90" spans="2:12" x14ac:dyDescent="0.2">
      <c r="B90" s="21"/>
      <c r="C90" s="299" t="s">
        <v>691</v>
      </c>
      <c r="D90" s="4" t="s">
        <v>39</v>
      </c>
      <c r="E90" s="4" t="s">
        <v>7</v>
      </c>
      <c r="F90" s="164">
        <f>Baukostenkennwerte!F90</f>
        <v>0</v>
      </c>
      <c r="G90" s="316"/>
      <c r="H90" s="5" t="s">
        <v>280</v>
      </c>
      <c r="I90" s="28"/>
      <c r="J90" s="28"/>
      <c r="K90" s="28" t="s">
        <v>239</v>
      </c>
      <c r="L90" s="269" t="e">
        <f t="shared" si="12"/>
        <v>#DIV/0!</v>
      </c>
    </row>
    <row r="91" spans="2:12" x14ac:dyDescent="0.2">
      <c r="B91" s="21"/>
      <c r="C91" s="299" t="s">
        <v>688</v>
      </c>
      <c r="D91" s="4" t="s">
        <v>40</v>
      </c>
      <c r="E91" s="4" t="s">
        <v>7</v>
      </c>
      <c r="F91" s="164">
        <f>Baukostenkennwerte!F91</f>
        <v>0</v>
      </c>
      <c r="G91" s="316"/>
      <c r="H91" s="5" t="s">
        <v>280</v>
      </c>
      <c r="I91" s="28"/>
      <c r="J91" s="28"/>
      <c r="K91" s="28" t="s">
        <v>239</v>
      </c>
      <c r="L91" s="269" t="e">
        <f t="shared" si="12"/>
        <v>#DIV/0!</v>
      </c>
    </row>
    <row r="92" spans="2:12" x14ac:dyDescent="0.2">
      <c r="B92" s="21"/>
      <c r="C92" s="299" t="s">
        <v>689</v>
      </c>
      <c r="D92" s="4" t="s">
        <v>281</v>
      </c>
      <c r="E92" s="4" t="s">
        <v>7</v>
      </c>
      <c r="F92" s="164">
        <f>Baukostenkennwerte!F92</f>
        <v>0</v>
      </c>
      <c r="G92" s="316"/>
      <c r="H92" s="5" t="s">
        <v>280</v>
      </c>
      <c r="I92" s="28"/>
      <c r="J92" s="28"/>
      <c r="K92" s="28" t="s">
        <v>239</v>
      </c>
      <c r="L92" s="269" t="e">
        <f t="shared" si="12"/>
        <v>#DIV/0!</v>
      </c>
    </row>
    <row r="93" spans="2:12" x14ac:dyDescent="0.2">
      <c r="B93" s="22"/>
      <c r="C93" s="300" t="s">
        <v>690</v>
      </c>
      <c r="D93" s="18" t="s">
        <v>42</v>
      </c>
      <c r="E93" s="18" t="s">
        <v>7</v>
      </c>
      <c r="F93" s="807">
        <f>Baukostenkennwerte!F93</f>
        <v>0</v>
      </c>
      <c r="G93" s="316"/>
      <c r="H93" s="5" t="s">
        <v>280</v>
      </c>
      <c r="I93" s="28"/>
      <c r="J93" s="28"/>
      <c r="K93" s="28" t="s">
        <v>246</v>
      </c>
      <c r="L93" s="269" t="e">
        <f t="shared" si="12"/>
        <v>#DIV/0!</v>
      </c>
    </row>
    <row r="94" spans="2:12" ht="11.25" customHeight="1" x14ac:dyDescent="0.2">
      <c r="B94" s="181"/>
      <c r="C94" s="301"/>
      <c r="D94" s="181"/>
      <c r="E94" s="181"/>
      <c r="F94" s="181"/>
      <c r="G94" s="4"/>
      <c r="H94" s="5"/>
      <c r="I94" s="28"/>
      <c r="J94" s="28"/>
      <c r="K94" s="28"/>
      <c r="L94" s="269"/>
    </row>
    <row r="95" spans="2:12" ht="11.25" customHeight="1" x14ac:dyDescent="0.2">
      <c r="B95" s="23"/>
      <c r="C95" s="270" t="s">
        <v>399</v>
      </c>
      <c r="D95" s="19" t="s">
        <v>559</v>
      </c>
      <c r="E95" s="19" t="s">
        <v>7</v>
      </c>
      <c r="F95" s="809">
        <f>SUM(F96:F97)</f>
        <v>0</v>
      </c>
      <c r="G95" s="38"/>
      <c r="H95" s="5" t="s">
        <v>558</v>
      </c>
      <c r="I95" s="28"/>
      <c r="J95" s="28"/>
      <c r="K95" s="28" t="s">
        <v>556</v>
      </c>
      <c r="L95" s="269" t="e">
        <f>+F95/F$21</f>
        <v>#DIV/0!</v>
      </c>
    </row>
    <row r="96" spans="2:12" ht="11.25" customHeight="1" x14ac:dyDescent="0.2">
      <c r="B96" s="20"/>
      <c r="C96" s="271" t="s">
        <v>563</v>
      </c>
      <c r="D96" s="17" t="s">
        <v>560</v>
      </c>
      <c r="E96" s="17" t="s">
        <v>7</v>
      </c>
      <c r="F96" s="806">
        <f>Baukostenkennwerte!F96</f>
        <v>0</v>
      </c>
      <c r="G96" s="316"/>
      <c r="H96" s="5" t="s">
        <v>558</v>
      </c>
      <c r="I96" s="28"/>
      <c r="J96" s="28"/>
      <c r="K96" s="28" t="s">
        <v>557</v>
      </c>
      <c r="L96" s="269" t="e">
        <f>+F96/F$21</f>
        <v>#DIV/0!</v>
      </c>
    </row>
    <row r="97" spans="2:12" ht="11.25" customHeight="1" x14ac:dyDescent="0.2">
      <c r="B97" s="22"/>
      <c r="C97" s="272" t="s">
        <v>564</v>
      </c>
      <c r="D97" s="18" t="s">
        <v>561</v>
      </c>
      <c r="E97" s="18" t="s">
        <v>7</v>
      </c>
      <c r="F97" s="807">
        <f>Baukostenkennwerte!F97</f>
        <v>0</v>
      </c>
      <c r="G97" s="316"/>
      <c r="H97" s="5" t="s">
        <v>558</v>
      </c>
      <c r="I97" s="28"/>
      <c r="J97" s="28"/>
      <c r="K97" s="28" t="s">
        <v>562</v>
      </c>
      <c r="L97" s="269" t="e">
        <f>+F97/F$21</f>
        <v>#DIV/0!</v>
      </c>
    </row>
    <row r="98" spans="2:12" x14ac:dyDescent="0.2">
      <c r="B98" s="181"/>
      <c r="C98" s="301"/>
      <c r="D98" s="181"/>
      <c r="E98" s="181"/>
      <c r="F98" s="181"/>
      <c r="G98" s="4"/>
      <c r="H98" s="5"/>
      <c r="I98" s="28"/>
      <c r="J98" s="28"/>
      <c r="K98" s="28"/>
      <c r="L98" s="269"/>
    </row>
    <row r="99" spans="2:12" ht="39" customHeight="1" x14ac:dyDescent="0.2">
      <c r="B99" s="302"/>
      <c r="C99" s="1166" t="s">
        <v>100</v>
      </c>
      <c r="D99" s="1167"/>
      <c r="E99" s="1168"/>
      <c r="F99" s="1169">
        <f>Baukostenkennwerte!F99</f>
        <v>0</v>
      </c>
      <c r="G99" s="1170"/>
      <c r="H99" s="1170"/>
      <c r="I99" s="1170"/>
      <c r="J99" s="1170"/>
      <c r="K99" s="1170"/>
      <c r="L99" s="1171"/>
    </row>
    <row r="100" spans="2:12" ht="39" customHeight="1" x14ac:dyDescent="0.2">
      <c r="B100" s="107"/>
      <c r="C100" s="1148" t="s">
        <v>101</v>
      </c>
      <c r="D100" s="1149">
        <f t="shared" ref="D100:D111" si="13">+D101/3</f>
        <v>0</v>
      </c>
      <c r="E100" s="1150"/>
      <c r="F100" s="1151">
        <f>Baukostenkennwerte!F100</f>
        <v>0</v>
      </c>
      <c r="G100" s="1152"/>
      <c r="H100" s="1152"/>
      <c r="I100" s="1152"/>
      <c r="J100" s="1152"/>
      <c r="K100" s="1152"/>
      <c r="L100" s="1153"/>
    </row>
    <row r="101" spans="2:12" ht="39" customHeight="1" x14ac:dyDescent="0.2">
      <c r="B101" s="107"/>
      <c r="C101" s="1148" t="s">
        <v>102</v>
      </c>
      <c r="D101" s="1149">
        <f t="shared" si="13"/>
        <v>0</v>
      </c>
      <c r="E101" s="1150"/>
      <c r="F101" s="1151">
        <f>Baukostenkennwerte!F101</f>
        <v>0</v>
      </c>
      <c r="G101" s="1152"/>
      <c r="H101" s="1152"/>
      <c r="I101" s="1152"/>
      <c r="J101" s="1152"/>
      <c r="K101" s="1152"/>
      <c r="L101" s="1153"/>
    </row>
    <row r="102" spans="2:12" ht="39" customHeight="1" x14ac:dyDescent="0.2">
      <c r="B102" s="107"/>
      <c r="C102" s="1148" t="s">
        <v>103</v>
      </c>
      <c r="D102" s="1149">
        <f t="shared" si="13"/>
        <v>0</v>
      </c>
      <c r="E102" s="1150"/>
      <c r="F102" s="1151">
        <f>Baukostenkennwerte!F102</f>
        <v>0</v>
      </c>
      <c r="G102" s="1152"/>
      <c r="H102" s="1152"/>
      <c r="I102" s="1152"/>
      <c r="J102" s="1152"/>
      <c r="K102" s="1152"/>
      <c r="L102" s="1153"/>
    </row>
    <row r="103" spans="2:12" ht="39" customHeight="1" x14ac:dyDescent="0.2">
      <c r="B103" s="107"/>
      <c r="C103" s="1148" t="s">
        <v>370</v>
      </c>
      <c r="D103" s="1149">
        <f t="shared" si="13"/>
        <v>0</v>
      </c>
      <c r="E103" s="1150"/>
      <c r="F103" s="1151">
        <f>Baukostenkennwerte!F103</f>
        <v>0</v>
      </c>
      <c r="G103" s="1152"/>
      <c r="H103" s="1152"/>
      <c r="I103" s="1152"/>
      <c r="J103" s="1152"/>
      <c r="K103" s="1152"/>
      <c r="L103" s="1153"/>
    </row>
    <row r="104" spans="2:12" ht="39" customHeight="1" x14ac:dyDescent="0.2">
      <c r="B104" s="107"/>
      <c r="C104" s="1148" t="s">
        <v>186</v>
      </c>
      <c r="D104" s="1149">
        <f t="shared" si="13"/>
        <v>0</v>
      </c>
      <c r="E104" s="1150"/>
      <c r="F104" s="1151">
        <f>Baukostenkennwerte!F104</f>
        <v>0</v>
      </c>
      <c r="G104" s="1152"/>
      <c r="H104" s="1152"/>
      <c r="I104" s="1152"/>
      <c r="J104" s="1152"/>
      <c r="K104" s="1152"/>
      <c r="L104" s="1153"/>
    </row>
    <row r="105" spans="2:12" ht="39" customHeight="1" x14ac:dyDescent="0.2">
      <c r="B105" s="107"/>
      <c r="C105" s="1148" t="s">
        <v>187</v>
      </c>
      <c r="D105" s="1149">
        <f t="shared" si="13"/>
        <v>0</v>
      </c>
      <c r="E105" s="1150"/>
      <c r="F105" s="1151">
        <f>Baukostenkennwerte!F105</f>
        <v>0</v>
      </c>
      <c r="G105" s="1152"/>
      <c r="H105" s="1152"/>
      <c r="I105" s="1152"/>
      <c r="J105" s="1152"/>
      <c r="K105" s="1152"/>
      <c r="L105" s="1153"/>
    </row>
    <row r="106" spans="2:12" ht="39" customHeight="1" x14ac:dyDescent="0.2">
      <c r="B106" s="107"/>
      <c r="C106" s="1148" t="s">
        <v>188</v>
      </c>
      <c r="D106" s="1149">
        <f>+D108/3</f>
        <v>0</v>
      </c>
      <c r="E106" s="1150"/>
      <c r="F106" s="1151">
        <f>Baukostenkennwerte!F106</f>
        <v>0</v>
      </c>
      <c r="G106" s="1152"/>
      <c r="H106" s="1152"/>
      <c r="I106" s="1152"/>
      <c r="J106" s="1152"/>
      <c r="K106" s="1152"/>
      <c r="L106" s="1153"/>
    </row>
    <row r="107" spans="2:12" ht="39" customHeight="1" x14ac:dyDescent="0.2">
      <c r="B107" s="107"/>
      <c r="C107" s="1148" t="s">
        <v>410</v>
      </c>
      <c r="D107" s="1149">
        <f>+D109/3</f>
        <v>0</v>
      </c>
      <c r="E107" s="1150"/>
      <c r="F107" s="1151">
        <f>Baukostenkennwerte!F107</f>
        <v>0</v>
      </c>
      <c r="G107" s="1152"/>
      <c r="H107" s="1152"/>
      <c r="I107" s="1152"/>
      <c r="J107" s="1152"/>
      <c r="K107" s="1152"/>
      <c r="L107" s="1153"/>
    </row>
    <row r="108" spans="2:12" ht="39" customHeight="1" x14ac:dyDescent="0.2">
      <c r="B108" s="107"/>
      <c r="C108" s="1148" t="s">
        <v>189</v>
      </c>
      <c r="D108" s="1149">
        <f>+D109/3</f>
        <v>0</v>
      </c>
      <c r="E108" s="1150"/>
      <c r="F108" s="1151">
        <f>Baukostenkennwerte!F108</f>
        <v>0</v>
      </c>
      <c r="G108" s="1152"/>
      <c r="H108" s="1152"/>
      <c r="I108" s="1152"/>
      <c r="J108" s="1152"/>
      <c r="K108" s="1152"/>
      <c r="L108" s="1153"/>
    </row>
    <row r="109" spans="2:12" ht="39" customHeight="1" x14ac:dyDescent="0.2">
      <c r="B109" s="106"/>
      <c r="C109" s="1148" t="s">
        <v>104</v>
      </c>
      <c r="D109" s="1149">
        <f t="shared" si="13"/>
        <v>0</v>
      </c>
      <c r="E109" s="1150"/>
      <c r="F109" s="1151">
        <f>Baukostenkennwerte!F109</f>
        <v>0</v>
      </c>
      <c r="G109" s="1152"/>
      <c r="H109" s="1152"/>
      <c r="I109" s="1152"/>
      <c r="J109" s="1152"/>
      <c r="K109" s="1152"/>
      <c r="L109" s="1153"/>
    </row>
    <row r="110" spans="2:12" ht="39" customHeight="1" x14ac:dyDescent="0.2">
      <c r="B110" s="106"/>
      <c r="C110" s="1148" t="s">
        <v>105</v>
      </c>
      <c r="D110" s="1149">
        <f t="shared" si="13"/>
        <v>0</v>
      </c>
      <c r="E110" s="1150"/>
      <c r="F110" s="1151">
        <f>Baukostenkennwerte!F110</f>
        <v>0</v>
      </c>
      <c r="G110" s="1152"/>
      <c r="H110" s="1152"/>
      <c r="I110" s="1152"/>
      <c r="J110" s="1152"/>
      <c r="K110" s="1152"/>
      <c r="L110" s="1153"/>
    </row>
    <row r="111" spans="2:12" ht="39" customHeight="1" x14ac:dyDescent="0.2">
      <c r="B111" s="107"/>
      <c r="C111" s="1148" t="s">
        <v>106</v>
      </c>
      <c r="D111" s="1149">
        <f t="shared" si="13"/>
        <v>0</v>
      </c>
      <c r="E111" s="1150"/>
      <c r="F111" s="1151">
        <f>Baukostenkennwerte!F111</f>
        <v>0</v>
      </c>
      <c r="G111" s="1152"/>
      <c r="H111" s="1152"/>
      <c r="I111" s="1152"/>
      <c r="J111" s="1152"/>
      <c r="K111" s="1152"/>
      <c r="L111" s="1153"/>
    </row>
    <row r="112" spans="2:12" ht="39" customHeight="1" x14ac:dyDescent="0.2">
      <c r="B112" s="108"/>
      <c r="C112" s="1154" t="s">
        <v>107</v>
      </c>
      <c r="D112" s="1155">
        <f>+F113/3</f>
        <v>0</v>
      </c>
      <c r="E112" s="1156"/>
      <c r="F112" s="1157">
        <f>Baukostenkennwerte!F112</f>
        <v>0</v>
      </c>
      <c r="G112" s="1158"/>
      <c r="H112" s="1158"/>
      <c r="I112" s="1158"/>
      <c r="J112" s="1158"/>
      <c r="K112" s="1158"/>
      <c r="L112" s="1159"/>
    </row>
  </sheetData>
  <sheetProtection selectLockedCells="1"/>
  <mergeCells count="38">
    <mergeCell ref="F4:L4"/>
    <mergeCell ref="D4:E4"/>
    <mergeCell ref="C101:E101"/>
    <mergeCell ref="F101:L101"/>
    <mergeCell ref="D5:L5"/>
    <mergeCell ref="D6:L6"/>
    <mergeCell ref="D9:L9"/>
    <mergeCell ref="D7:L7"/>
    <mergeCell ref="D8:L8"/>
    <mergeCell ref="H17:J17"/>
    <mergeCell ref="C99:E99"/>
    <mergeCell ref="F99:L99"/>
    <mergeCell ref="C100:E100"/>
    <mergeCell ref="F100:L100"/>
    <mergeCell ref="K13:L13"/>
    <mergeCell ref="C56:D56"/>
    <mergeCell ref="C107:E107"/>
    <mergeCell ref="F107:L107"/>
    <mergeCell ref="C102:E102"/>
    <mergeCell ref="F102:L102"/>
    <mergeCell ref="C103:E103"/>
    <mergeCell ref="F103:L103"/>
    <mergeCell ref="C104:E104"/>
    <mergeCell ref="F104:L104"/>
    <mergeCell ref="C105:E105"/>
    <mergeCell ref="F105:L105"/>
    <mergeCell ref="C106:E106"/>
    <mergeCell ref="F106:L106"/>
    <mergeCell ref="C111:E111"/>
    <mergeCell ref="F111:L111"/>
    <mergeCell ref="C112:E112"/>
    <mergeCell ref="F112:L112"/>
    <mergeCell ref="C108:E108"/>
    <mergeCell ref="F108:L108"/>
    <mergeCell ref="C109:E109"/>
    <mergeCell ref="F109:L109"/>
    <mergeCell ref="C110:E110"/>
    <mergeCell ref="F110:L110"/>
  </mergeCells>
  <conditionalFormatting sqref="K13">
    <cfRule type="cellIs" dxfId="2" priority="2" stopIfTrue="1" operator="notEqual">
      <formula>$F$12</formula>
    </cfRule>
  </conditionalFormatting>
  <conditionalFormatting sqref="F99:L112">
    <cfRule type="cellIs" dxfId="1" priority="1" operator="equal">
      <formula>0</formula>
    </cfRule>
  </conditionalFormatting>
  <dataValidations count="1">
    <dataValidation type="list" allowBlank="1" showInputMessage="1" showErrorMessage="1" sqref="K13:L13">
      <formula1>$O$12:$O$35</formula1>
    </dataValidation>
  </dataValidations>
  <pageMargins left="0.39370078740157483" right="0.31496062992125984" top="0.98425196850393704" bottom="0.98425196850393704" header="0.39370078740157483" footer="0.39370078740157483"/>
  <pageSetup paperSize="9" scale="85" fitToHeight="2" orientation="portrait" r:id="rId1"/>
  <headerFooter alignWithMargins="0">
    <oddHeader>&amp;L&amp;G</oddHeader>
    <oddFooter>&amp;L&amp;8&amp;G&amp;C&amp;6                                                &amp;D/&amp;F&amp;R&amp;7&amp;G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916</vt:i4>
      </vt:variant>
    </vt:vector>
  </HeadingPairs>
  <TitlesOfParts>
    <vt:vector size="928" baseType="lpstr">
      <vt:lpstr>Drucken</vt:lpstr>
      <vt:lpstr>Eingabe</vt:lpstr>
      <vt:lpstr>Eingabe-Beschrieb</vt:lpstr>
      <vt:lpstr>Kostenentwicklung</vt:lpstr>
      <vt:lpstr>KE-Graphik</vt:lpstr>
      <vt:lpstr>Benchmarkvergleich</vt:lpstr>
      <vt:lpstr>Auswertung</vt:lpstr>
      <vt:lpstr>Baukostenkennwerte</vt:lpstr>
      <vt:lpstr>Baukostenkenn. mit Teur.</vt:lpstr>
      <vt:lpstr>Index</vt:lpstr>
      <vt:lpstr>Tabelle1</vt:lpstr>
      <vt:lpstr>Drop Down Menü</vt:lpstr>
      <vt:lpstr>B8_04_1ALBS</vt:lpstr>
      <vt:lpstr>B8_04_1ASAT</vt:lpstr>
      <vt:lpstr>B8_04_1ASBT</vt:lpstr>
      <vt:lpstr>B8_04_1AUKB</vt:lpstr>
      <vt:lpstr>B8_04_1BAAG</vt:lpstr>
      <vt:lpstr>B8_04_1BAKO</vt:lpstr>
      <vt:lpstr>B8_04_1BAUGT</vt:lpstr>
      <vt:lpstr>B8_04_1BEAU</vt:lpstr>
      <vt:lpstr>B8_04_1BEDI</vt:lpstr>
      <vt:lpstr>B8_04_1BEST</vt:lpstr>
      <vt:lpstr>B8_04_1BURO</vt:lpstr>
      <vt:lpstr>B8_04_1BUUK</vt:lpstr>
      <vt:lpstr>B8_04_1DAPRO</vt:lpstr>
      <vt:lpstr>B8_04_1DIFF</vt:lpstr>
      <vt:lpstr>B8_04_1EING</vt:lpstr>
      <vt:lpstr>B8_04_1EIRI</vt:lpstr>
      <vt:lpstr>B8_04_1EKFE2</vt:lpstr>
      <vt:lpstr>B8_04_1EKFE3</vt:lpstr>
      <vt:lpstr>B8_04_1EKFE4</vt:lpstr>
      <vt:lpstr>B8_04_1EKTG</vt:lpstr>
      <vt:lpstr>B8_04_1ELAN</vt:lpstr>
      <vt:lpstr>B8_04_1ENST</vt:lpstr>
      <vt:lpstr>B8_04_1ERIN</vt:lpstr>
      <vt:lpstr>B8_04_1ERKO</vt:lpstr>
      <vt:lpstr>B8_04_1FUE2</vt:lpstr>
      <vt:lpstr>B8_04_1FUE2HNF</vt:lpstr>
      <vt:lpstr>B8_04_1FUE3</vt:lpstr>
      <vt:lpstr>B8_04_1FUE3HNF</vt:lpstr>
      <vt:lpstr>B8_04_1FUE4</vt:lpstr>
      <vt:lpstr>B8_04_1FUE4HNF</vt:lpstr>
      <vt:lpstr>B8_04_1FUEI</vt:lpstr>
      <vt:lpstr>B8_04_1GEBA</vt:lpstr>
      <vt:lpstr>B8_04_1GEDE</vt:lpstr>
      <vt:lpstr>B8_04_1GEGB</vt:lpstr>
      <vt:lpstr>B8_04_1GEGE</vt:lpstr>
      <vt:lpstr>B8_04_1GETI</vt:lpstr>
      <vt:lpstr>B8_04_1GEVO</vt:lpstr>
      <vt:lpstr>B8_04_1GRFL</vt:lpstr>
      <vt:lpstr>B8_04_1HEPF</vt:lpstr>
      <vt:lpstr>B8_04_1HLKA</vt:lpstr>
      <vt:lpstr>B8_04_1HORE</vt:lpstr>
      <vt:lpstr>B8_04_1KAEN</vt:lpstr>
      <vt:lpstr>B8_04_1KLEN</vt:lpstr>
      <vt:lpstr>B8_04_1KOEX</vt:lpstr>
      <vt:lpstr>B8_04_1KOIN</vt:lpstr>
      <vt:lpstr>B8_04_1KOKO</vt:lpstr>
      <vt:lpstr>B8_04_1LAVV</vt:lpstr>
      <vt:lpstr>B8_04_1MAUE</vt:lpstr>
      <vt:lpstr>B8_04_1MFSTZH</vt:lpstr>
      <vt:lpstr>B8_04_1PHAM</vt:lpstr>
      <vt:lpstr>B8_04_1POPO</vt:lpstr>
      <vt:lpstr>B8_04_1POSA</vt:lpstr>
      <vt:lpstr>B8_04_1PROA</vt:lpstr>
      <vt:lpstr>B8_04_1PROV</vt:lpstr>
      <vt:lpstr>B8_04_1ROAT</vt:lpstr>
      <vt:lpstr>B8_04_1ROBT</vt:lpstr>
      <vt:lpstr>B8_04_1SANI</vt:lpstr>
      <vt:lpstr>B8_04_1SANK</vt:lpstr>
      <vt:lpstr>B8_04_1SOGR</vt:lpstr>
      <vt:lpstr>B8_04_1TEILPHASE</vt:lpstr>
      <vt:lpstr>B8_04_1TEUR</vt:lpstr>
      <vt:lpstr>B8_04_1TFEI</vt:lpstr>
      <vt:lpstr>B8_04_1TGEH</vt:lpstr>
      <vt:lpstr>B8_04_1TREN</vt:lpstr>
      <vt:lpstr>B8_04_1UMBU</vt:lpstr>
      <vt:lpstr>B8_04_1VAUKB</vt:lpstr>
      <vt:lpstr>B8_04_1VAUOB</vt:lpstr>
      <vt:lpstr>B8_04_1VBAAG</vt:lpstr>
      <vt:lpstr>B8_04_1VBAKO</vt:lpstr>
      <vt:lpstr>B8_04_1VBEAU</vt:lpstr>
      <vt:lpstr>B8_04_1VBKFE</vt:lpstr>
      <vt:lpstr>B8_04_1VBKGF</vt:lpstr>
      <vt:lpstr>B8_04_1VBKGV</vt:lpstr>
      <vt:lpstr>B8_04_1VBKPE</vt:lpstr>
      <vt:lpstr>B8_04_1VBKPF</vt:lpstr>
      <vt:lpstr>B8_04_1VBKPG</vt:lpstr>
      <vt:lpstr>B8_04_1VBKPV</vt:lpstr>
      <vt:lpstr>B8_04_1VBOPL</vt:lpstr>
      <vt:lpstr>B8_04_1VDACT</vt:lpstr>
      <vt:lpstr>B8_04_1VERIN</vt:lpstr>
      <vt:lpstr>B8_04_1VERKO</vt:lpstr>
      <vt:lpstr>B8_04_1VFAUT</vt:lpstr>
      <vt:lpstr>B8_04_1VFUE2</vt:lpstr>
      <vt:lpstr>B8_04_1VFUE234</vt:lpstr>
      <vt:lpstr>B8_04_1VFUE3</vt:lpstr>
      <vt:lpstr>B8_04_1VFUE4</vt:lpstr>
      <vt:lpstr>B8_04_1VFUEI</vt:lpstr>
      <vt:lpstr>B8_04_1VGEDE</vt:lpstr>
      <vt:lpstr>B8_04_1VGEGE</vt:lpstr>
      <vt:lpstr>B8_04_1VGEVO</vt:lpstr>
      <vt:lpstr>B8_04_1VKOIN</vt:lpstr>
      <vt:lpstr>B8_04_1VMAUE</vt:lpstr>
      <vt:lpstr>B8_04_1VOAR</vt:lpstr>
      <vt:lpstr>B8_04_1VPM1</vt:lpstr>
      <vt:lpstr>B8_04_1VPM2</vt:lpstr>
      <vt:lpstr>B8_04_1VPM3</vt:lpstr>
      <vt:lpstr>B8_04_1VPM4</vt:lpstr>
      <vt:lpstr>B8_04_1VPM5</vt:lpstr>
      <vt:lpstr>B8_04_1VPM6</vt:lpstr>
      <vt:lpstr>B8_04_1VPM7</vt:lpstr>
      <vt:lpstr>B8_04_1VPROV</vt:lpstr>
      <vt:lpstr>B8_04_1VTAUF</vt:lpstr>
      <vt:lpstr>B8_04_1VTFEI</vt:lpstr>
      <vt:lpstr>B8_04_1VTGEH</vt:lpstr>
      <vt:lpstr>B8_04_1VUMBU</vt:lpstr>
      <vt:lpstr>B8_04_1VVOAR</vt:lpstr>
      <vt:lpstr>B8_04_1WAGU</vt:lpstr>
      <vt:lpstr>B8_04_1WATG</vt:lpstr>
      <vt:lpstr>B8_04_1WBFP</vt:lpstr>
      <vt:lpstr>B8_04_1WINF</vt:lpstr>
      <vt:lpstr>B8_04_1WOAU</vt:lpstr>
      <vt:lpstr>B8_04_2ALBS</vt:lpstr>
      <vt:lpstr>B8_04_2ASAT</vt:lpstr>
      <vt:lpstr>B8_04_2ASBT</vt:lpstr>
      <vt:lpstr>B8_04_2AUFL</vt:lpstr>
      <vt:lpstr>B8_04_2AUKB</vt:lpstr>
      <vt:lpstr>B8_04_2AUOB</vt:lpstr>
      <vt:lpstr>B8_04_2AUUN</vt:lpstr>
      <vt:lpstr>B8_04_2BAAG</vt:lpstr>
      <vt:lpstr>B8_04_2BAKO</vt:lpstr>
      <vt:lpstr>B8_04_2BAUGT</vt:lpstr>
      <vt:lpstr>B8_04_2BEAU</vt:lpstr>
      <vt:lpstr>B8_04_2BEDI</vt:lpstr>
      <vt:lpstr>B8_04_2BEST</vt:lpstr>
      <vt:lpstr>B8_04_2BEUM</vt:lpstr>
      <vt:lpstr>B8_04_2BOPL</vt:lpstr>
      <vt:lpstr>B8_04_2BURO</vt:lpstr>
      <vt:lpstr>B8_04_2BUUK</vt:lpstr>
      <vt:lpstr>B8_04_2DACT</vt:lpstr>
      <vt:lpstr>B8_04_2DAOB</vt:lpstr>
      <vt:lpstr>B8_04_2DAPRO</vt:lpstr>
      <vt:lpstr>B8_04_2DAUN</vt:lpstr>
      <vt:lpstr>B8_04_2DIFF</vt:lpstr>
      <vt:lpstr>B8_04_2EING</vt:lpstr>
      <vt:lpstr>B8_04_2EIRI</vt:lpstr>
      <vt:lpstr>B8_04_2EKFE2</vt:lpstr>
      <vt:lpstr>B8_04_2EKFE3</vt:lpstr>
      <vt:lpstr>B8_04_2EKFE4</vt:lpstr>
      <vt:lpstr>B8_04_2EKTG</vt:lpstr>
      <vt:lpstr>B8_04_2ELAN</vt:lpstr>
      <vt:lpstr>B8_04_2ENFL</vt:lpstr>
      <vt:lpstr>B8_04_2ENST</vt:lpstr>
      <vt:lpstr>B8_04_2ERIN</vt:lpstr>
      <vt:lpstr>B8_04_2ERKO</vt:lpstr>
      <vt:lpstr>B8_04_2FAUT</vt:lpstr>
      <vt:lpstr>B8_04_2FUE2</vt:lpstr>
      <vt:lpstr>B8_04_2FUE2HNF</vt:lpstr>
      <vt:lpstr>B8_04_2FUE3</vt:lpstr>
      <vt:lpstr>B8_04_2FUE3HNF</vt:lpstr>
      <vt:lpstr>B8_04_2FUE4</vt:lpstr>
      <vt:lpstr>B8_04_2FUE4HNF</vt:lpstr>
      <vt:lpstr>B8_04_2FUEI</vt:lpstr>
      <vt:lpstr>B8_04_2GEBA</vt:lpstr>
      <vt:lpstr>B8_04_2GEDE</vt:lpstr>
      <vt:lpstr>B8_04_2GEGB</vt:lpstr>
      <vt:lpstr>B8_04_2GEGE</vt:lpstr>
      <vt:lpstr>B8_04_2GEGR</vt:lpstr>
      <vt:lpstr>B8_04_2GETI</vt:lpstr>
      <vt:lpstr>B8_04_2GEVO</vt:lpstr>
      <vt:lpstr>B8_04_2GRFL</vt:lpstr>
      <vt:lpstr>B8_04_2HEPF</vt:lpstr>
      <vt:lpstr>B8_04_2HLKA</vt:lpstr>
      <vt:lpstr>B8_04_2HORE</vt:lpstr>
      <vt:lpstr>B8_04_2KAEN</vt:lpstr>
      <vt:lpstr>B8_04_2KLEN</vt:lpstr>
      <vt:lpstr>B8_04_2KOEX</vt:lpstr>
      <vt:lpstr>B8_04_2KOIN</vt:lpstr>
      <vt:lpstr>B8_04_2KOKO</vt:lpstr>
      <vt:lpstr>B8_04_2LAVV</vt:lpstr>
      <vt:lpstr>B8_04_2MAUE</vt:lpstr>
      <vt:lpstr>B8_04_2MFSTZH</vt:lpstr>
      <vt:lpstr>B8_04_2PHAM</vt:lpstr>
      <vt:lpstr>B8_04_2POPO</vt:lpstr>
      <vt:lpstr>B8_04_2POSA</vt:lpstr>
      <vt:lpstr>B8_04_2PROA</vt:lpstr>
      <vt:lpstr>B8_04_2PROV</vt:lpstr>
      <vt:lpstr>B8_04_2ROAT</vt:lpstr>
      <vt:lpstr>B8_04_2ROBT</vt:lpstr>
      <vt:lpstr>B8_04_2SANI</vt:lpstr>
      <vt:lpstr>B8_04_2SANK</vt:lpstr>
      <vt:lpstr>B8_04_2SOGR</vt:lpstr>
      <vt:lpstr>B8_04_2TAUF</vt:lpstr>
      <vt:lpstr>B8_04_2TEILPHASE</vt:lpstr>
      <vt:lpstr>B8_04_2TEUR</vt:lpstr>
      <vt:lpstr>B8_04_2TFEI</vt:lpstr>
      <vt:lpstr>B8_04_2TGEH</vt:lpstr>
      <vt:lpstr>B8_04_2TREN</vt:lpstr>
      <vt:lpstr>B8_04_2UMBU</vt:lpstr>
      <vt:lpstr>B8_04_2VAUKB</vt:lpstr>
      <vt:lpstr>B8_04_2VAUOB</vt:lpstr>
      <vt:lpstr>B8_04_2VBAAG</vt:lpstr>
      <vt:lpstr>B8_04_2VBAKO</vt:lpstr>
      <vt:lpstr>B8_04_2VBEAU</vt:lpstr>
      <vt:lpstr>B8_04_2VBKFE</vt:lpstr>
      <vt:lpstr>B8_04_2VBKGF</vt:lpstr>
      <vt:lpstr>B8_04_2VBKGV</vt:lpstr>
      <vt:lpstr>B8_04_2VBKPE</vt:lpstr>
      <vt:lpstr>B8_04_2VBKPF</vt:lpstr>
      <vt:lpstr>B8_04_2VBKPG</vt:lpstr>
      <vt:lpstr>B8_04_2VBKPV</vt:lpstr>
      <vt:lpstr>B8_04_2VBOPL</vt:lpstr>
      <vt:lpstr>B8_04_2VDACT</vt:lpstr>
      <vt:lpstr>B8_04_2VERIN</vt:lpstr>
      <vt:lpstr>B8_04_2VERKO</vt:lpstr>
      <vt:lpstr>B8_04_2VFAUT</vt:lpstr>
      <vt:lpstr>B8_04_2VFUE2</vt:lpstr>
      <vt:lpstr>B8_04_2VFUE234</vt:lpstr>
      <vt:lpstr>B8_04_2VFUE3</vt:lpstr>
      <vt:lpstr>B8_04_2VFUE4</vt:lpstr>
      <vt:lpstr>B8_04_2VFUEI</vt:lpstr>
      <vt:lpstr>B8_04_2VGEDE</vt:lpstr>
      <vt:lpstr>B8_04_2VGEGE</vt:lpstr>
      <vt:lpstr>B8_04_2VGEVO</vt:lpstr>
      <vt:lpstr>B8_04_2VKOIN</vt:lpstr>
      <vt:lpstr>B8_04_2VMAUE</vt:lpstr>
      <vt:lpstr>B8_04_2VOAR</vt:lpstr>
      <vt:lpstr>B8_04_2VPM1</vt:lpstr>
      <vt:lpstr>B8_04_2VPM2</vt:lpstr>
      <vt:lpstr>B8_04_2VPM3</vt:lpstr>
      <vt:lpstr>B8_04_2VPM4</vt:lpstr>
      <vt:lpstr>B8_04_2VPM5</vt:lpstr>
      <vt:lpstr>B8_04_2VPM6</vt:lpstr>
      <vt:lpstr>B8_04_2VPM7</vt:lpstr>
      <vt:lpstr>B8_04_2VPROV</vt:lpstr>
      <vt:lpstr>B8_04_2VTAUF</vt:lpstr>
      <vt:lpstr>B8_04_2VTFEI</vt:lpstr>
      <vt:lpstr>B8_04_2VTGEH</vt:lpstr>
      <vt:lpstr>B8_04_2VUMBU</vt:lpstr>
      <vt:lpstr>B8_04_2VVOAR</vt:lpstr>
      <vt:lpstr>B8_04_2WAGU</vt:lpstr>
      <vt:lpstr>B8_04_2WATG</vt:lpstr>
      <vt:lpstr>B8_04_2WBFP</vt:lpstr>
      <vt:lpstr>B8_04_2WINF</vt:lpstr>
      <vt:lpstr>B8_04_2WOAU</vt:lpstr>
      <vt:lpstr>B8_04_2ZIEL</vt:lpstr>
      <vt:lpstr>B8_04_2ZIPH</vt:lpstr>
      <vt:lpstr>B8_04_3ALBS</vt:lpstr>
      <vt:lpstr>B8_04_3ASAT</vt:lpstr>
      <vt:lpstr>B8_04_3ASBT</vt:lpstr>
      <vt:lpstr>B8_04_3AUKB</vt:lpstr>
      <vt:lpstr>B8_04_3BAAG</vt:lpstr>
      <vt:lpstr>B8_04_3BAKO</vt:lpstr>
      <vt:lpstr>B8_04_3BAUGT</vt:lpstr>
      <vt:lpstr>B8_04_3BEAU</vt:lpstr>
      <vt:lpstr>B8_04_3BEDI</vt:lpstr>
      <vt:lpstr>B8_04_3BEST</vt:lpstr>
      <vt:lpstr>B8_04_3BKFE</vt:lpstr>
      <vt:lpstr>B8_04_3BKGF</vt:lpstr>
      <vt:lpstr>B8_04_3BKGV</vt:lpstr>
      <vt:lpstr>B8_04_3BKNF</vt:lpstr>
      <vt:lpstr>B8_04_3BKPE</vt:lpstr>
      <vt:lpstr>B8_04_3BKPF</vt:lpstr>
      <vt:lpstr>B8_04_3BKPG</vt:lpstr>
      <vt:lpstr>B8_04_3BKPV</vt:lpstr>
      <vt:lpstr>B8_04_3BURO</vt:lpstr>
      <vt:lpstr>B8_04_3BUUK</vt:lpstr>
      <vt:lpstr>B8_04_3DAPRO</vt:lpstr>
      <vt:lpstr>B8_04_3DIFF</vt:lpstr>
      <vt:lpstr>B8_04_3EING</vt:lpstr>
      <vt:lpstr>B8_04_3EIRI</vt:lpstr>
      <vt:lpstr>B8_04_3EKFE2</vt:lpstr>
      <vt:lpstr>B8_04_3EKFE3</vt:lpstr>
      <vt:lpstr>B8_04_3EKFE4</vt:lpstr>
      <vt:lpstr>B8_04_3EKTG</vt:lpstr>
      <vt:lpstr>B8_04_3ELAN</vt:lpstr>
      <vt:lpstr>B8_04_3ENST</vt:lpstr>
      <vt:lpstr>B8_04_3ERIN</vt:lpstr>
      <vt:lpstr>B8_04_3ERKO</vt:lpstr>
      <vt:lpstr>B8_04_3FUE2</vt:lpstr>
      <vt:lpstr>B8_04_3FUE2HNF</vt:lpstr>
      <vt:lpstr>B8_04_3FUE3</vt:lpstr>
      <vt:lpstr>B8_04_3FUE3HNF</vt:lpstr>
      <vt:lpstr>B8_04_3FUE4</vt:lpstr>
      <vt:lpstr>B8_04_3FUE4HNF</vt:lpstr>
      <vt:lpstr>B8_04_3FUEI</vt:lpstr>
      <vt:lpstr>B8_04_3GEBA</vt:lpstr>
      <vt:lpstr>B8_04_3GEDE</vt:lpstr>
      <vt:lpstr>B8_04_3GEGB</vt:lpstr>
      <vt:lpstr>B8_04_3GEGE</vt:lpstr>
      <vt:lpstr>B8_04_3GETI</vt:lpstr>
      <vt:lpstr>B8_04_3GEVO</vt:lpstr>
      <vt:lpstr>B8_04_3GRFL</vt:lpstr>
      <vt:lpstr>B8_04_3HEPF</vt:lpstr>
      <vt:lpstr>B8_04_3HLKA</vt:lpstr>
      <vt:lpstr>B8_04_3HORE</vt:lpstr>
      <vt:lpstr>B8_04_3KAEN</vt:lpstr>
      <vt:lpstr>B8_04_3KLEN</vt:lpstr>
      <vt:lpstr>B8_04_3KOEX</vt:lpstr>
      <vt:lpstr>B8_04_3KOIN</vt:lpstr>
      <vt:lpstr>B8_04_3KOKO</vt:lpstr>
      <vt:lpstr>B8_04_3LAVV</vt:lpstr>
      <vt:lpstr>B8_04_3MAUE</vt:lpstr>
      <vt:lpstr>B8_04_3MFSTZH</vt:lpstr>
      <vt:lpstr>B8_04_3PHAM</vt:lpstr>
      <vt:lpstr>B8_04_3PM1</vt:lpstr>
      <vt:lpstr>B8_04_3PM2</vt:lpstr>
      <vt:lpstr>B8_04_3PM3</vt:lpstr>
      <vt:lpstr>B8_04_3PM4</vt:lpstr>
      <vt:lpstr>B8_04_3PM5</vt:lpstr>
      <vt:lpstr>B8_04_3PM6</vt:lpstr>
      <vt:lpstr>B8_04_3PM7</vt:lpstr>
      <vt:lpstr>B8_04_3POPO</vt:lpstr>
      <vt:lpstr>B8_04_3POSA</vt:lpstr>
      <vt:lpstr>B8_04_3PROA</vt:lpstr>
      <vt:lpstr>B8_04_3PROV</vt:lpstr>
      <vt:lpstr>B8_04_3ROAT</vt:lpstr>
      <vt:lpstr>B8_04_3ROBT</vt:lpstr>
      <vt:lpstr>B8_04_3SANI</vt:lpstr>
      <vt:lpstr>B8_04_3SANK</vt:lpstr>
      <vt:lpstr>B8_04_3SOGR</vt:lpstr>
      <vt:lpstr>B8_04_3TEILPHASE</vt:lpstr>
      <vt:lpstr>B8_04_3TEUR</vt:lpstr>
      <vt:lpstr>B8_04_3TFEI</vt:lpstr>
      <vt:lpstr>B8_04_3TGEH</vt:lpstr>
      <vt:lpstr>B8_04_3TREN</vt:lpstr>
      <vt:lpstr>B8_04_3UMBU</vt:lpstr>
      <vt:lpstr>B8_04_3VAUKB</vt:lpstr>
      <vt:lpstr>B8_04_3VAUOB</vt:lpstr>
      <vt:lpstr>B8_04_3VBAAG</vt:lpstr>
      <vt:lpstr>B8_04_3VBAKO</vt:lpstr>
      <vt:lpstr>B8_04_3VBEAU</vt:lpstr>
      <vt:lpstr>B8_04_3VBKFE</vt:lpstr>
      <vt:lpstr>B8_04_3VBKGF</vt:lpstr>
      <vt:lpstr>B8_04_3VBKGV</vt:lpstr>
      <vt:lpstr>B8_04_3VBKPE</vt:lpstr>
      <vt:lpstr>B8_04_3VBKPF</vt:lpstr>
      <vt:lpstr>B8_04_3VBKPG</vt:lpstr>
      <vt:lpstr>B8_04_3VBKPV</vt:lpstr>
      <vt:lpstr>B8_04_3VBOPL</vt:lpstr>
      <vt:lpstr>B8_04_3VDACT</vt:lpstr>
      <vt:lpstr>B8_04_3VERIN</vt:lpstr>
      <vt:lpstr>B8_04_3VERKO</vt:lpstr>
      <vt:lpstr>B8_04_3VFAUT</vt:lpstr>
      <vt:lpstr>B8_04_3VFUE2</vt:lpstr>
      <vt:lpstr>B8_04_3VFUE234</vt:lpstr>
      <vt:lpstr>B8_04_3VFUE3</vt:lpstr>
      <vt:lpstr>B8_04_3VFUE4</vt:lpstr>
      <vt:lpstr>B8_04_3VFUEI</vt:lpstr>
      <vt:lpstr>B8_04_3VGEDE</vt:lpstr>
      <vt:lpstr>B8_04_3VGEGE</vt:lpstr>
      <vt:lpstr>B8_04_3VGEVO</vt:lpstr>
      <vt:lpstr>B8_04_3VKOIN</vt:lpstr>
      <vt:lpstr>B8_04_3VMAUE</vt:lpstr>
      <vt:lpstr>B8_04_3VOAR</vt:lpstr>
      <vt:lpstr>B8_04_3VPM1</vt:lpstr>
      <vt:lpstr>B8_04_3VPM2</vt:lpstr>
      <vt:lpstr>B8_04_3VPM3</vt:lpstr>
      <vt:lpstr>B8_04_3VPM4</vt:lpstr>
      <vt:lpstr>B8_04_3VPM5</vt:lpstr>
      <vt:lpstr>B8_04_3VPM6</vt:lpstr>
      <vt:lpstr>B8_04_3VPM7</vt:lpstr>
      <vt:lpstr>B8_04_3VPROV</vt:lpstr>
      <vt:lpstr>B8_04_3VTAUF</vt:lpstr>
      <vt:lpstr>B8_04_3VTFEI</vt:lpstr>
      <vt:lpstr>B8_04_3VTGEH</vt:lpstr>
      <vt:lpstr>B8_04_3VUMBU</vt:lpstr>
      <vt:lpstr>B8_04_3VVOAR</vt:lpstr>
      <vt:lpstr>B8_04_3WAGU</vt:lpstr>
      <vt:lpstr>B8_04_3WATG</vt:lpstr>
      <vt:lpstr>B8_04_3WBFP</vt:lpstr>
      <vt:lpstr>B8_04_3WINF</vt:lpstr>
      <vt:lpstr>B8_04_3WOAU</vt:lpstr>
      <vt:lpstr>B8_04_3ZIEL</vt:lpstr>
      <vt:lpstr>B8_04_3ZIPH</vt:lpstr>
      <vt:lpstr>B8_04_4ALBS</vt:lpstr>
      <vt:lpstr>B8_04_4ASAP</vt:lpstr>
      <vt:lpstr>B8_04_4ASAT</vt:lpstr>
      <vt:lpstr>B8_04_4ASBT</vt:lpstr>
      <vt:lpstr>B8_04_4AUFL</vt:lpstr>
      <vt:lpstr>B8_04_4AUKB</vt:lpstr>
      <vt:lpstr>B8_04_4AUOB</vt:lpstr>
      <vt:lpstr>B8_04_4AUSA</vt:lpstr>
      <vt:lpstr>B8_04_4AUSB</vt:lpstr>
      <vt:lpstr>B8_04_4AUUN</vt:lpstr>
      <vt:lpstr>B8_04_4BAAG</vt:lpstr>
      <vt:lpstr>B8_04_4BAGR</vt:lpstr>
      <vt:lpstr>B8_04_4BAKO</vt:lpstr>
      <vt:lpstr>B8_04_4BAUBE</vt:lpstr>
      <vt:lpstr>B8_04_4BAUEN</vt:lpstr>
      <vt:lpstr>B8_04_4BAUGT</vt:lpstr>
      <vt:lpstr>B8_04_4BEAU</vt:lpstr>
      <vt:lpstr>B8_04_4BEDI</vt:lpstr>
      <vt:lpstr>B8_04_4BEST</vt:lpstr>
      <vt:lpstr>B8_04_4BEUM</vt:lpstr>
      <vt:lpstr>B8_04_4BKFE</vt:lpstr>
      <vt:lpstr>B8_04_4BKGF</vt:lpstr>
      <vt:lpstr>B8_04_4BKGV</vt:lpstr>
      <vt:lpstr>B8_04_4BKNF</vt:lpstr>
      <vt:lpstr>B8_04_4BKPE</vt:lpstr>
      <vt:lpstr>B8_04_4BKPF</vt:lpstr>
      <vt:lpstr>B8_04_4BKPG</vt:lpstr>
      <vt:lpstr>B8_04_4BKPV</vt:lpstr>
      <vt:lpstr>B8_04_4BOPL</vt:lpstr>
      <vt:lpstr>B8_04_4BURO</vt:lpstr>
      <vt:lpstr>B8_04_4BUUK</vt:lpstr>
      <vt:lpstr>B8_04_4DACT</vt:lpstr>
      <vt:lpstr>B8_04_4DAOB</vt:lpstr>
      <vt:lpstr>B8_04_4DAPRO</vt:lpstr>
      <vt:lpstr>B8_04_4DAUN</vt:lpstr>
      <vt:lpstr>B8_04_4EING</vt:lpstr>
      <vt:lpstr>B8_04_4EIRI</vt:lpstr>
      <vt:lpstr>B8_04_4EKFE2</vt:lpstr>
      <vt:lpstr>B8_04_4EKFE3</vt:lpstr>
      <vt:lpstr>B8_04_4EKFE4</vt:lpstr>
      <vt:lpstr>B8_04_4EKTG</vt:lpstr>
      <vt:lpstr>B8_04_4ELAL</vt:lpstr>
      <vt:lpstr>B8_04_4ELAN</vt:lpstr>
      <vt:lpstr>B8_04_4ENFL</vt:lpstr>
      <vt:lpstr>B8_04_4ENST</vt:lpstr>
      <vt:lpstr>B8_04_4ERIN</vt:lpstr>
      <vt:lpstr>B8_04_4ERKO</vt:lpstr>
      <vt:lpstr>B8_04_4FAUT</vt:lpstr>
      <vt:lpstr>B8_04_4FUE2</vt:lpstr>
      <vt:lpstr>B8_04_4FUE2HNF</vt:lpstr>
      <vt:lpstr>B8_04_4FUE3</vt:lpstr>
      <vt:lpstr>B8_04_4FUE3HNF</vt:lpstr>
      <vt:lpstr>B8_04_4FUE4</vt:lpstr>
      <vt:lpstr>B8_04_4FUE4HNF</vt:lpstr>
      <vt:lpstr>B8_04_4FUEI</vt:lpstr>
      <vt:lpstr>B8_04_4GEBA</vt:lpstr>
      <vt:lpstr>B8_04_4GEDE</vt:lpstr>
      <vt:lpstr>B8_04_4GEGB</vt:lpstr>
      <vt:lpstr>B8_04_4GEGE</vt:lpstr>
      <vt:lpstr>B8_04_4GEGR</vt:lpstr>
      <vt:lpstr>B8_04_4GETI</vt:lpstr>
      <vt:lpstr>B8_04_4GEVO</vt:lpstr>
      <vt:lpstr>B8_04_4GLUF</vt:lpstr>
      <vt:lpstr>B8_04_4GRFL</vt:lpstr>
      <vt:lpstr>B8_04_4HEPF</vt:lpstr>
      <vt:lpstr>B8_04_4HLKA</vt:lpstr>
      <vt:lpstr>B8_04_4HLKK</vt:lpstr>
      <vt:lpstr>B8_04_4HONO</vt:lpstr>
      <vt:lpstr>B8_04_4HORE</vt:lpstr>
      <vt:lpstr>B8_04_4INHE</vt:lpstr>
      <vt:lpstr>B8_04_4INKG</vt:lpstr>
      <vt:lpstr>B8_04_4KAEN</vt:lpstr>
      <vt:lpstr>B8_04_4KALA</vt:lpstr>
      <vt:lpstr>B8_04_4KLEN</vt:lpstr>
      <vt:lpstr>B8_04_4KOEX</vt:lpstr>
      <vt:lpstr>B8_04_4KOIN</vt:lpstr>
      <vt:lpstr>B8_04_4KOKO</vt:lpstr>
      <vt:lpstr>B8_04_4KUEN</vt:lpstr>
      <vt:lpstr>B8_04_4LAVV</vt:lpstr>
      <vt:lpstr>B8_04_4LKAG</vt:lpstr>
      <vt:lpstr>B8_04_4MAUE</vt:lpstr>
      <vt:lpstr>B8_04_4MFSTZH</vt:lpstr>
      <vt:lpstr>B8_04_4PHAM</vt:lpstr>
      <vt:lpstr>B8_04_4PM1</vt:lpstr>
      <vt:lpstr>B8_04_4PM2</vt:lpstr>
      <vt:lpstr>B8_04_4PM3</vt:lpstr>
      <vt:lpstr>B8_04_4PM4</vt:lpstr>
      <vt:lpstr>B8_04_4PM5</vt:lpstr>
      <vt:lpstr>B8_04_4PM6</vt:lpstr>
      <vt:lpstr>B8_04_4PM7</vt:lpstr>
      <vt:lpstr>B8_04_4POPO</vt:lpstr>
      <vt:lpstr>B8_04_4POSA</vt:lpstr>
      <vt:lpstr>B8_04_4PROA</vt:lpstr>
      <vt:lpstr>B8_04_4PROV</vt:lpstr>
      <vt:lpstr>B8_04_4ROAT</vt:lpstr>
      <vt:lpstr>B8_04_4ROBT</vt:lpstr>
      <vt:lpstr>B8_04_4ROHA</vt:lpstr>
      <vt:lpstr>B8_04_4ROHB</vt:lpstr>
      <vt:lpstr>B8_04_4SALA</vt:lpstr>
      <vt:lpstr>B8_04_4SANI</vt:lpstr>
      <vt:lpstr>B8_04_4SANK</vt:lpstr>
      <vt:lpstr>B8_04_4SOGR</vt:lpstr>
      <vt:lpstr>B8_04_4TAUF</vt:lpstr>
      <vt:lpstr>B8_04_4TEILPHASE</vt:lpstr>
      <vt:lpstr>B8_04_4TFEI</vt:lpstr>
      <vt:lpstr>B8_04_4TGEH</vt:lpstr>
      <vt:lpstr>B8_04_4TRAL</vt:lpstr>
      <vt:lpstr>B8_04_4TREN</vt:lpstr>
      <vt:lpstr>B8_04_4UMBU</vt:lpstr>
      <vt:lpstr>B8_04_4VOAR</vt:lpstr>
      <vt:lpstr>B8_04_4WAGU</vt:lpstr>
      <vt:lpstr>B8_04_4WAMT</vt:lpstr>
      <vt:lpstr>B8_04_4WATG</vt:lpstr>
      <vt:lpstr>B8_04_4WBFP</vt:lpstr>
      <vt:lpstr>B8_04_4WINF</vt:lpstr>
      <vt:lpstr>B8_04_4WOAU</vt:lpstr>
      <vt:lpstr>B8_04_4ZIEL</vt:lpstr>
      <vt:lpstr>B8_04_4ZIPH</vt:lpstr>
      <vt:lpstr>B8_04_5ALBS</vt:lpstr>
      <vt:lpstr>B8_04_5ASAP</vt:lpstr>
      <vt:lpstr>B8_04_5ASAT</vt:lpstr>
      <vt:lpstr>B8_04_5ASBT</vt:lpstr>
      <vt:lpstr>B8_04_5AUFL</vt:lpstr>
      <vt:lpstr>B8_04_5AUKB</vt:lpstr>
      <vt:lpstr>B8_04_5AUOB</vt:lpstr>
      <vt:lpstr>B8_04_5AUSA</vt:lpstr>
      <vt:lpstr>B8_04_5AUSB</vt:lpstr>
      <vt:lpstr>B8_04_5AUUN</vt:lpstr>
      <vt:lpstr>B8_04_5BAAG</vt:lpstr>
      <vt:lpstr>B8_04_5BAGR</vt:lpstr>
      <vt:lpstr>B8_04_5BAKO</vt:lpstr>
      <vt:lpstr>B8_04_5BAUBE</vt:lpstr>
      <vt:lpstr>B8_04_5BAUEN</vt:lpstr>
      <vt:lpstr>B8_04_5BAUGT</vt:lpstr>
      <vt:lpstr>B8_04_5BEAU</vt:lpstr>
      <vt:lpstr>B8_04_5BEDI</vt:lpstr>
      <vt:lpstr>B8_04_5BEST</vt:lpstr>
      <vt:lpstr>B8_04_5BEUM</vt:lpstr>
      <vt:lpstr>B8_04_5BKFE</vt:lpstr>
      <vt:lpstr>B8_04_5BKGF</vt:lpstr>
      <vt:lpstr>B8_04_5BKGV</vt:lpstr>
      <vt:lpstr>B8_04_5BKNF</vt:lpstr>
      <vt:lpstr>B8_04_5BKPE</vt:lpstr>
      <vt:lpstr>B8_04_5BKPF</vt:lpstr>
      <vt:lpstr>B8_04_5BKPG</vt:lpstr>
      <vt:lpstr>B8_04_5BKPV</vt:lpstr>
      <vt:lpstr>B8_04_5BOPL</vt:lpstr>
      <vt:lpstr>B8_04_5BURO</vt:lpstr>
      <vt:lpstr>B8_04_5BUUK</vt:lpstr>
      <vt:lpstr>B8_04_5DACT</vt:lpstr>
      <vt:lpstr>B8_04_5DAOB</vt:lpstr>
      <vt:lpstr>B8_04_5DAPRO</vt:lpstr>
      <vt:lpstr>B8_04_5DAUN</vt:lpstr>
      <vt:lpstr>B8_04_5EING</vt:lpstr>
      <vt:lpstr>B8_04_5EIRI</vt:lpstr>
      <vt:lpstr>B8_04_5EKFE2</vt:lpstr>
      <vt:lpstr>B8_04_5EKFE3</vt:lpstr>
      <vt:lpstr>B8_04_5EKFE4</vt:lpstr>
      <vt:lpstr>B8_04_5EKTG</vt:lpstr>
      <vt:lpstr>B8_04_5ELAL</vt:lpstr>
      <vt:lpstr>B8_04_5ELAN</vt:lpstr>
      <vt:lpstr>B8_04_5ENFL</vt:lpstr>
      <vt:lpstr>B8_04_5ENST</vt:lpstr>
      <vt:lpstr>B8_04_5ERIN</vt:lpstr>
      <vt:lpstr>B8_04_5ERKO</vt:lpstr>
      <vt:lpstr>B8_04_5FAUT</vt:lpstr>
      <vt:lpstr>B8_04_5FUE2</vt:lpstr>
      <vt:lpstr>B8_04_5FUE2HNF</vt:lpstr>
      <vt:lpstr>B8_04_5FUE3</vt:lpstr>
      <vt:lpstr>B8_04_5FUE3HNF</vt:lpstr>
      <vt:lpstr>B8_04_5FUE4</vt:lpstr>
      <vt:lpstr>B8_04_5FUE4HNF</vt:lpstr>
      <vt:lpstr>B8_04_5FUEI</vt:lpstr>
      <vt:lpstr>B8_04_5GEBA</vt:lpstr>
      <vt:lpstr>B8_04_5GEDE</vt:lpstr>
      <vt:lpstr>B8_04_5GEGB</vt:lpstr>
      <vt:lpstr>B8_04_5GEGE</vt:lpstr>
      <vt:lpstr>B8_04_5GEGR</vt:lpstr>
      <vt:lpstr>B8_04_5GETI</vt:lpstr>
      <vt:lpstr>B8_04_5GEVO</vt:lpstr>
      <vt:lpstr>B8_04_5GLUF</vt:lpstr>
      <vt:lpstr>B8_04_5GRFL</vt:lpstr>
      <vt:lpstr>B8_04_5HEPF</vt:lpstr>
      <vt:lpstr>B8_04_5HLKA</vt:lpstr>
      <vt:lpstr>B8_04_5HLKK</vt:lpstr>
      <vt:lpstr>B8_04_5HONO</vt:lpstr>
      <vt:lpstr>B8_04_5HORE</vt:lpstr>
      <vt:lpstr>B8_04_5INHE</vt:lpstr>
      <vt:lpstr>B8_04_5INKG</vt:lpstr>
      <vt:lpstr>B8_04_5KAEN</vt:lpstr>
      <vt:lpstr>B8_04_5KALA</vt:lpstr>
      <vt:lpstr>B8_04_5KLEN</vt:lpstr>
      <vt:lpstr>B8_04_5KOEX</vt:lpstr>
      <vt:lpstr>B8_04_5KOIN</vt:lpstr>
      <vt:lpstr>B8_04_5KOKO</vt:lpstr>
      <vt:lpstr>B8_04_5KUEN</vt:lpstr>
      <vt:lpstr>B8_04_5LAVV</vt:lpstr>
      <vt:lpstr>B8_04_5LKAG</vt:lpstr>
      <vt:lpstr>B8_04_5MAUE</vt:lpstr>
      <vt:lpstr>B8_04_5MFSTZH</vt:lpstr>
      <vt:lpstr>B8_04_5PHAM</vt:lpstr>
      <vt:lpstr>B8_04_5PM1</vt:lpstr>
      <vt:lpstr>B8_04_5PM2</vt:lpstr>
      <vt:lpstr>B8_04_5PM3</vt:lpstr>
      <vt:lpstr>B8_04_5PM4</vt:lpstr>
      <vt:lpstr>B8_04_5PM5</vt:lpstr>
      <vt:lpstr>B8_04_5PM6</vt:lpstr>
      <vt:lpstr>B8_04_5PM7</vt:lpstr>
      <vt:lpstr>B8_04_5POPO</vt:lpstr>
      <vt:lpstr>B8_04_5POSA</vt:lpstr>
      <vt:lpstr>B8_04_5PROA</vt:lpstr>
      <vt:lpstr>B8_04_5PROV</vt:lpstr>
      <vt:lpstr>B8_04_5ROAT</vt:lpstr>
      <vt:lpstr>B8_04_5ROBT</vt:lpstr>
      <vt:lpstr>B8_04_5ROHA</vt:lpstr>
      <vt:lpstr>B8_04_5ROHB</vt:lpstr>
      <vt:lpstr>B8_04_5SALA</vt:lpstr>
      <vt:lpstr>B8_04_5SANI</vt:lpstr>
      <vt:lpstr>B8_04_5SANK</vt:lpstr>
      <vt:lpstr>B8_04_5SOGR</vt:lpstr>
      <vt:lpstr>B8_04_5TAUF</vt:lpstr>
      <vt:lpstr>B8_04_5TEILPHASE</vt:lpstr>
      <vt:lpstr>B8_04_5TFEI</vt:lpstr>
      <vt:lpstr>B8_04_5TGEH</vt:lpstr>
      <vt:lpstr>B8_04_5TRAL</vt:lpstr>
      <vt:lpstr>B8_04_5TREN</vt:lpstr>
      <vt:lpstr>B8_04_5UMBU</vt:lpstr>
      <vt:lpstr>B8_04_5VOAR</vt:lpstr>
      <vt:lpstr>B8_04_5WAGU</vt:lpstr>
      <vt:lpstr>B8_04_5WAMT</vt:lpstr>
      <vt:lpstr>B8_04_5WATG</vt:lpstr>
      <vt:lpstr>B8_04_5WBFP</vt:lpstr>
      <vt:lpstr>B8_04_5WINF</vt:lpstr>
      <vt:lpstr>B8_04_5WOAU</vt:lpstr>
      <vt:lpstr>B8_04_5ZIEL</vt:lpstr>
      <vt:lpstr>B8_04_5ZIPH</vt:lpstr>
      <vt:lpstr>B8_04_6ALBS</vt:lpstr>
      <vt:lpstr>B8_04_6ASAP</vt:lpstr>
      <vt:lpstr>B8_04_6ASAT</vt:lpstr>
      <vt:lpstr>B8_04_6ASBT</vt:lpstr>
      <vt:lpstr>B8_04_6AUFL</vt:lpstr>
      <vt:lpstr>B8_04_6AUKB</vt:lpstr>
      <vt:lpstr>B8_04_6AUOB</vt:lpstr>
      <vt:lpstr>B8_04_6AUSA</vt:lpstr>
      <vt:lpstr>B8_04_6AUSB</vt:lpstr>
      <vt:lpstr>B8_04_6AUUN</vt:lpstr>
      <vt:lpstr>B8_04_6BAAG</vt:lpstr>
      <vt:lpstr>B8_04_6BAGR</vt:lpstr>
      <vt:lpstr>B8_04_6BAKO</vt:lpstr>
      <vt:lpstr>B8_04_6BAUBE</vt:lpstr>
      <vt:lpstr>B8_04_6BAUEN</vt:lpstr>
      <vt:lpstr>B8_04_6BAUGT</vt:lpstr>
      <vt:lpstr>B8_04_6BEAU</vt:lpstr>
      <vt:lpstr>B8_04_6BEDI</vt:lpstr>
      <vt:lpstr>B8_04_6BEST</vt:lpstr>
      <vt:lpstr>B8_04_6BEUM</vt:lpstr>
      <vt:lpstr>B8_04_6BKFE</vt:lpstr>
      <vt:lpstr>B8_04_6BKGF</vt:lpstr>
      <vt:lpstr>B8_04_6BKGV</vt:lpstr>
      <vt:lpstr>B8_04_6BKNF</vt:lpstr>
      <vt:lpstr>B8_04_6BKPE</vt:lpstr>
      <vt:lpstr>B8_04_6BKPF</vt:lpstr>
      <vt:lpstr>B8_04_6BKPG</vt:lpstr>
      <vt:lpstr>B8_04_6BKPV</vt:lpstr>
      <vt:lpstr>B8_04_6BOPL</vt:lpstr>
      <vt:lpstr>B8_04_6BURO</vt:lpstr>
      <vt:lpstr>B8_04_6BUUK</vt:lpstr>
      <vt:lpstr>B8_04_6DACT</vt:lpstr>
      <vt:lpstr>B8_04_6DAOB</vt:lpstr>
      <vt:lpstr>B8_04_6DAPRO</vt:lpstr>
      <vt:lpstr>B8_04_6DAUN</vt:lpstr>
      <vt:lpstr>B8_04_6EING</vt:lpstr>
      <vt:lpstr>B8_04_6EIRI</vt:lpstr>
      <vt:lpstr>B8_04_6EKFE2</vt:lpstr>
      <vt:lpstr>B8_04_6EKFE3</vt:lpstr>
      <vt:lpstr>B8_04_6EKFE4</vt:lpstr>
      <vt:lpstr>B8_04_6EKTG</vt:lpstr>
      <vt:lpstr>B8_04_6ELAL</vt:lpstr>
      <vt:lpstr>B8_04_6ELAN</vt:lpstr>
      <vt:lpstr>B8_04_6ENFL</vt:lpstr>
      <vt:lpstr>B8_04_6ENST</vt:lpstr>
      <vt:lpstr>B8_04_6ERIN</vt:lpstr>
      <vt:lpstr>B8_04_6ERKO</vt:lpstr>
      <vt:lpstr>B8_04_6FAUT</vt:lpstr>
      <vt:lpstr>B8_04_6FUE2</vt:lpstr>
      <vt:lpstr>B8_04_6FUE2HNF</vt:lpstr>
      <vt:lpstr>B8_04_6FUE3</vt:lpstr>
      <vt:lpstr>B8_04_6FUE3HNF</vt:lpstr>
      <vt:lpstr>B8_04_6FUE4</vt:lpstr>
      <vt:lpstr>B8_04_6FUE4HNF</vt:lpstr>
      <vt:lpstr>B8_04_6FUEI</vt:lpstr>
      <vt:lpstr>B8_04_6GEBA</vt:lpstr>
      <vt:lpstr>B8_04_6GEDE</vt:lpstr>
      <vt:lpstr>B8_04_6GEGB</vt:lpstr>
      <vt:lpstr>B8_04_6GEGE</vt:lpstr>
      <vt:lpstr>B8_04_6GEGR</vt:lpstr>
      <vt:lpstr>B8_04_6GETI</vt:lpstr>
      <vt:lpstr>B8_04_6GEVO</vt:lpstr>
      <vt:lpstr>B8_04_6GLUF</vt:lpstr>
      <vt:lpstr>B8_04_6GRFL</vt:lpstr>
      <vt:lpstr>B8_04_6HEPF</vt:lpstr>
      <vt:lpstr>B8_04_6HLKA</vt:lpstr>
      <vt:lpstr>B8_04_6HLKK</vt:lpstr>
      <vt:lpstr>B8_04_6HONO</vt:lpstr>
      <vt:lpstr>B8_04_6HORE</vt:lpstr>
      <vt:lpstr>B8_04_6INHE</vt:lpstr>
      <vt:lpstr>B8_04_6INKG</vt:lpstr>
      <vt:lpstr>B8_04_6KAEN</vt:lpstr>
      <vt:lpstr>B8_04_6KALA</vt:lpstr>
      <vt:lpstr>B8_04_6KLEN</vt:lpstr>
      <vt:lpstr>B8_04_6KOEX</vt:lpstr>
      <vt:lpstr>B8_04_6KOIN</vt:lpstr>
      <vt:lpstr>B8_04_6KOKO</vt:lpstr>
      <vt:lpstr>B8_04_6KUEN</vt:lpstr>
      <vt:lpstr>B8_04_6LAVV</vt:lpstr>
      <vt:lpstr>B8_04_6LKAG</vt:lpstr>
      <vt:lpstr>B8_04_6MAUE</vt:lpstr>
      <vt:lpstr>B8_04_6MFSTZH</vt:lpstr>
      <vt:lpstr>B8_04_6PHAM</vt:lpstr>
      <vt:lpstr>B8_04_6PM1</vt:lpstr>
      <vt:lpstr>B8_04_6PM2</vt:lpstr>
      <vt:lpstr>B8_04_6PM3</vt:lpstr>
      <vt:lpstr>B8_04_6PM4</vt:lpstr>
      <vt:lpstr>B8_04_6PM5</vt:lpstr>
      <vt:lpstr>B8_04_6PM6</vt:lpstr>
      <vt:lpstr>B8_04_6PM7</vt:lpstr>
      <vt:lpstr>B8_04_6POPO</vt:lpstr>
      <vt:lpstr>B8_04_6POSA</vt:lpstr>
      <vt:lpstr>B8_04_6PROA</vt:lpstr>
      <vt:lpstr>B8_04_6PROV</vt:lpstr>
      <vt:lpstr>B8_04_6ROAT</vt:lpstr>
      <vt:lpstr>B8_04_6ROBT</vt:lpstr>
      <vt:lpstr>B8_04_6ROHA</vt:lpstr>
      <vt:lpstr>B8_04_6ROHB</vt:lpstr>
      <vt:lpstr>B8_04_6SALA</vt:lpstr>
      <vt:lpstr>B8_04_6SANI</vt:lpstr>
      <vt:lpstr>B8_04_6SANK</vt:lpstr>
      <vt:lpstr>B8_04_6SOGR</vt:lpstr>
      <vt:lpstr>B8_04_6TAUF</vt:lpstr>
      <vt:lpstr>B8_04_6TEILPHASE</vt:lpstr>
      <vt:lpstr>B8_04_6TFEI</vt:lpstr>
      <vt:lpstr>B8_04_6TGEH</vt:lpstr>
      <vt:lpstr>B8_04_6TRAL</vt:lpstr>
      <vt:lpstr>B8_04_6TREN</vt:lpstr>
      <vt:lpstr>B8_04_6UMBU</vt:lpstr>
      <vt:lpstr>B8_04_6VOAR</vt:lpstr>
      <vt:lpstr>B8_04_6WAGU</vt:lpstr>
      <vt:lpstr>B8_04_6WAMT</vt:lpstr>
      <vt:lpstr>B8_04_6WATG</vt:lpstr>
      <vt:lpstr>B8_04_6WBFP</vt:lpstr>
      <vt:lpstr>B8_04_6WINF</vt:lpstr>
      <vt:lpstr>B8_04_6WOAU</vt:lpstr>
      <vt:lpstr>B8_04_6ZIEL</vt:lpstr>
      <vt:lpstr>B8_04_6ZIPH</vt:lpstr>
      <vt:lpstr>B8_04_7ALBS</vt:lpstr>
      <vt:lpstr>B8_04_7ASAP</vt:lpstr>
      <vt:lpstr>B8_04_7ASAT</vt:lpstr>
      <vt:lpstr>B8_04_7ASBT</vt:lpstr>
      <vt:lpstr>B8_04_7AUFL</vt:lpstr>
      <vt:lpstr>B8_04_7AUKB</vt:lpstr>
      <vt:lpstr>B8_04_7AUOB</vt:lpstr>
      <vt:lpstr>B8_04_7AUSA</vt:lpstr>
      <vt:lpstr>B8_04_7AUSB</vt:lpstr>
      <vt:lpstr>B8_04_7AUUN</vt:lpstr>
      <vt:lpstr>B8_04_7BAAG</vt:lpstr>
      <vt:lpstr>B8_04_7BAGR</vt:lpstr>
      <vt:lpstr>B8_04_7BAKO</vt:lpstr>
      <vt:lpstr>B8_04_7BAUBE</vt:lpstr>
      <vt:lpstr>B8_04_7BAUEN</vt:lpstr>
      <vt:lpstr>B8_04_7BAUGT</vt:lpstr>
      <vt:lpstr>B8_04_7BEAU</vt:lpstr>
      <vt:lpstr>B8_04_7BEDI</vt:lpstr>
      <vt:lpstr>B8_04_7BEST</vt:lpstr>
      <vt:lpstr>B8_04_7BEUM</vt:lpstr>
      <vt:lpstr>B8_04_7BKFE</vt:lpstr>
      <vt:lpstr>B8_04_7BKGF</vt:lpstr>
      <vt:lpstr>B8_04_7BKGV</vt:lpstr>
      <vt:lpstr>B8_04_7BKNF</vt:lpstr>
      <vt:lpstr>B8_04_7BKPE</vt:lpstr>
      <vt:lpstr>B8_04_7BKPF</vt:lpstr>
      <vt:lpstr>B8_04_7BKPG</vt:lpstr>
      <vt:lpstr>B8_04_7BKPV</vt:lpstr>
      <vt:lpstr>B8_04_7BOPL</vt:lpstr>
      <vt:lpstr>B8_04_7BURO</vt:lpstr>
      <vt:lpstr>B8_04_7BUUK</vt:lpstr>
      <vt:lpstr>B8_04_7DACT</vt:lpstr>
      <vt:lpstr>B8_04_7DAOB</vt:lpstr>
      <vt:lpstr>B8_04_7DAPRO</vt:lpstr>
      <vt:lpstr>B8_04_7DAUN</vt:lpstr>
      <vt:lpstr>B8_04_7EING</vt:lpstr>
      <vt:lpstr>B8_04_7EIRI</vt:lpstr>
      <vt:lpstr>B8_04_7EKFE2</vt:lpstr>
      <vt:lpstr>B8_04_7EKFE3</vt:lpstr>
      <vt:lpstr>B8_04_7EKFE4</vt:lpstr>
      <vt:lpstr>B8_04_7EKTG</vt:lpstr>
      <vt:lpstr>B8_04_7ELAL</vt:lpstr>
      <vt:lpstr>B8_04_7ELAN</vt:lpstr>
      <vt:lpstr>B8_04_7ENFL</vt:lpstr>
      <vt:lpstr>B8_04_7ENST</vt:lpstr>
      <vt:lpstr>B8_04_7ERIN</vt:lpstr>
      <vt:lpstr>B8_04_7ERKO</vt:lpstr>
      <vt:lpstr>B8_04_7FAEN</vt:lpstr>
      <vt:lpstr>B8_04_7FAUT</vt:lpstr>
      <vt:lpstr>B8_04_7FUE2</vt:lpstr>
      <vt:lpstr>B8_04_7FUE2HNF</vt:lpstr>
      <vt:lpstr>B8_04_7FUE3</vt:lpstr>
      <vt:lpstr>B8_04_7FUE3HNF</vt:lpstr>
      <vt:lpstr>B8_04_7FUE4</vt:lpstr>
      <vt:lpstr>B8_04_7FUE4HNF</vt:lpstr>
      <vt:lpstr>B8_04_7FUEI</vt:lpstr>
      <vt:lpstr>B8_04_7GEBA</vt:lpstr>
      <vt:lpstr>B8_04_7GEDE</vt:lpstr>
      <vt:lpstr>B8_04_7GEGB</vt:lpstr>
      <vt:lpstr>B8_04_7GEGE</vt:lpstr>
      <vt:lpstr>B8_04_7GEGR</vt:lpstr>
      <vt:lpstr>B8_04_7GETI</vt:lpstr>
      <vt:lpstr>B8_04_7GEVO</vt:lpstr>
      <vt:lpstr>B8_04_7GLUF</vt:lpstr>
      <vt:lpstr>B8_04_7GRFL</vt:lpstr>
      <vt:lpstr>B8_04_7HEPF</vt:lpstr>
      <vt:lpstr>B8_04_7HLKA</vt:lpstr>
      <vt:lpstr>B8_04_7HLKK</vt:lpstr>
      <vt:lpstr>B8_04_7HONO</vt:lpstr>
      <vt:lpstr>B8_04_7HORE</vt:lpstr>
      <vt:lpstr>B8_04_7INHE</vt:lpstr>
      <vt:lpstr>B8_04_7INKG</vt:lpstr>
      <vt:lpstr>B8_04_7KAEN</vt:lpstr>
      <vt:lpstr>B8_04_7KALA</vt:lpstr>
      <vt:lpstr>B8_04_7KLEN</vt:lpstr>
      <vt:lpstr>B8_04_7KOEX</vt:lpstr>
      <vt:lpstr>B8_04_7KOIN</vt:lpstr>
      <vt:lpstr>B8_04_7KOKO</vt:lpstr>
      <vt:lpstr>B8_04_7KUEN</vt:lpstr>
      <vt:lpstr>B8_04_7LAVV</vt:lpstr>
      <vt:lpstr>B8_04_7LKAG</vt:lpstr>
      <vt:lpstr>B8_04_7MAUE</vt:lpstr>
      <vt:lpstr>B8_04_7MFSTZH</vt:lpstr>
      <vt:lpstr>B8_04_7PHAM</vt:lpstr>
      <vt:lpstr>B8_04_7PM1</vt:lpstr>
      <vt:lpstr>B8_04_7PM2</vt:lpstr>
      <vt:lpstr>B8_04_7PM3</vt:lpstr>
      <vt:lpstr>B8_04_7PM4</vt:lpstr>
      <vt:lpstr>B8_04_7PM5</vt:lpstr>
      <vt:lpstr>B8_04_7PM6</vt:lpstr>
      <vt:lpstr>B8_04_7PM7</vt:lpstr>
      <vt:lpstr>B8_04_7POPO</vt:lpstr>
      <vt:lpstr>B8_04_7POSA</vt:lpstr>
      <vt:lpstr>B8_04_7PROA</vt:lpstr>
      <vt:lpstr>B8_04_7PROV</vt:lpstr>
      <vt:lpstr>B8_04_7ROAT</vt:lpstr>
      <vt:lpstr>B8_04_7ROBT</vt:lpstr>
      <vt:lpstr>B8_04_7ROHA</vt:lpstr>
      <vt:lpstr>B8_04_7ROHB</vt:lpstr>
      <vt:lpstr>B8_04_7SALA</vt:lpstr>
      <vt:lpstr>B8_04_7SANI</vt:lpstr>
      <vt:lpstr>B8_04_7SANK</vt:lpstr>
      <vt:lpstr>B8_04_7SOGR</vt:lpstr>
      <vt:lpstr>B8_04_7TAUF</vt:lpstr>
      <vt:lpstr>B8_04_7TEILPHASE</vt:lpstr>
      <vt:lpstr>B8_04_7TFEI</vt:lpstr>
      <vt:lpstr>B8_04_7TGEH</vt:lpstr>
      <vt:lpstr>B8_04_7TRAL</vt:lpstr>
      <vt:lpstr>B8_04_7TREN</vt:lpstr>
      <vt:lpstr>B8_04_7UMBU</vt:lpstr>
      <vt:lpstr>B8_04_7VOAR</vt:lpstr>
      <vt:lpstr>B8_04_7WAGU</vt:lpstr>
      <vt:lpstr>B8_04_7WAMT</vt:lpstr>
      <vt:lpstr>B8_04_7WATG</vt:lpstr>
      <vt:lpstr>B8_04_7WBFP</vt:lpstr>
      <vt:lpstr>B8_04_7WINF</vt:lpstr>
      <vt:lpstr>B8_04_7WOAU</vt:lpstr>
      <vt:lpstr>B8_04_7ZIEL</vt:lpstr>
      <vt:lpstr>B8_04_7ZIPH</vt:lpstr>
      <vt:lpstr>B8_04_AKTIVPROJE</vt:lpstr>
      <vt:lpstr>B8_04_AUFTRAGADR</vt:lpstr>
      <vt:lpstr>B8_04_BHRINP</vt:lpstr>
      <vt:lpstr>B8_04_DEFFE1</vt:lpstr>
      <vt:lpstr>B8_04_DEFFE2</vt:lpstr>
      <vt:lpstr>B8_04_DEFFE3</vt:lpstr>
      <vt:lpstr>B8_04_DEFFE4</vt:lpstr>
      <vt:lpstr>B8_04_DEFFETG</vt:lpstr>
      <vt:lpstr>B8_04_INDEX2000</vt:lpstr>
      <vt:lpstr>B8_04_INDEX2001</vt:lpstr>
      <vt:lpstr>B8_04_INDEX2002</vt:lpstr>
      <vt:lpstr>B8_04_INDEX2003</vt:lpstr>
      <vt:lpstr>B8_04_INDEX2004</vt:lpstr>
      <vt:lpstr>B8_04_INDEX2005</vt:lpstr>
      <vt:lpstr>B8_04_INDEX2006</vt:lpstr>
      <vt:lpstr>B8_04_INDEX2007</vt:lpstr>
      <vt:lpstr>B8_04_INDEX2008</vt:lpstr>
      <vt:lpstr>B8_04_INDEX2009</vt:lpstr>
      <vt:lpstr>B8_04_INDEX2010</vt:lpstr>
      <vt:lpstr>B8_04_INDEX2011</vt:lpstr>
      <vt:lpstr>B8_04_INDEX2012</vt:lpstr>
      <vt:lpstr>B8_04_INDEX2013</vt:lpstr>
      <vt:lpstr>B8_04_INDEX2014</vt:lpstr>
      <vt:lpstr>B8_04_INDEX2015</vt:lpstr>
      <vt:lpstr>B8_04_INDEX2016</vt:lpstr>
      <vt:lpstr>B8_04_INDEX2017</vt:lpstr>
      <vt:lpstr>B8_04_INDEX2018</vt:lpstr>
      <vt:lpstr>B8_04_INDEX2019</vt:lpstr>
      <vt:lpstr>B8_04_INDEX2020</vt:lpstr>
      <vt:lpstr>B8_04_INDEX2021</vt:lpstr>
      <vt:lpstr>B8_04_INDEX2022</vt:lpstr>
      <vt:lpstr>B8_04_INJAHR</vt:lpstr>
      <vt:lpstr>B8_04_INSTAND</vt:lpstr>
      <vt:lpstr>B8_04_KOMENT1</vt:lpstr>
      <vt:lpstr>B8_04_KOMENT10</vt:lpstr>
      <vt:lpstr>B8_04_KOMENT11</vt:lpstr>
      <vt:lpstr>B8_04_KOMENT12</vt:lpstr>
      <vt:lpstr>B8_04_KOMENT13</vt:lpstr>
      <vt:lpstr>B8_04_KOMENT14</vt:lpstr>
      <vt:lpstr>B8_04_KOMENT2</vt:lpstr>
      <vt:lpstr>B8_04_KOMENT3</vt:lpstr>
      <vt:lpstr>B8_04_KOMENT4</vt:lpstr>
      <vt:lpstr>B8_04_KOMENT5</vt:lpstr>
      <vt:lpstr>B8_04_KOMENT6</vt:lpstr>
      <vt:lpstr>B8_04_KOMENT7</vt:lpstr>
      <vt:lpstr>B8_04_KOMENT8</vt:lpstr>
      <vt:lpstr>B8_04_KOMENT9</vt:lpstr>
      <vt:lpstr>B8_04_MENGU</vt:lpstr>
      <vt:lpstr>B8_04_PROJEKTNAM</vt:lpstr>
      <vt:lpstr>B8_04_PRT_PAGE00</vt:lpstr>
      <vt:lpstr>B8_04_PRT_PAGE01</vt:lpstr>
      <vt:lpstr>B8_04_PRT_PAGE02</vt:lpstr>
      <vt:lpstr>B8_04_PRT_PAGE03</vt:lpstr>
      <vt:lpstr>B8_04_PRT_PAGE04</vt:lpstr>
      <vt:lpstr>B8_04_PRT_PAGE05</vt:lpstr>
      <vt:lpstr>B8_04_PRT_PAGE06</vt:lpstr>
      <vt:lpstr>B8_04_PRT_PAGE07</vt:lpstr>
      <vt:lpstr>B8_04_PRT_PAGE08</vt:lpstr>
      <vt:lpstr>B8_04_PRT_PAGE09</vt:lpstr>
      <vt:lpstr>B8_04_V1BKNF</vt:lpstr>
      <vt:lpstr>B8_04_V2BKNF</vt:lpstr>
      <vt:lpstr>B8_04_V3BKNF</vt:lpstr>
      <vt:lpstr>B8_04_VRPRBEZ1</vt:lpstr>
      <vt:lpstr>B8_04_VRPRBEZ2</vt:lpstr>
      <vt:lpstr>B8_04_VRPRBEZ3</vt:lpstr>
      <vt:lpstr>B8_04_VRPRNR1</vt:lpstr>
      <vt:lpstr>B8_04_VRPRNR2</vt:lpstr>
      <vt:lpstr>B8_04_VRPRNR3</vt:lpstr>
      <vt:lpstr>B8_04_VRPRNR4</vt:lpstr>
      <vt:lpstr>Auswertung!Druckbereich</vt:lpstr>
      <vt:lpstr>'Baukostenkenn. mit Teur.'!Druckbereich</vt:lpstr>
      <vt:lpstr>Baukostenkennwerte!Druckbereich</vt:lpstr>
      <vt:lpstr>Benchmarkvergleich!Druckbereich</vt:lpstr>
      <vt:lpstr>Eingabe!Druckbereich</vt:lpstr>
      <vt:lpstr>'Eingabe-Beschrieb'!Druckbereich</vt:lpstr>
      <vt:lpstr>Kostenentwicklung!Druckbereich</vt:lpstr>
      <vt:lpstr>Auswertung!Drucktitel</vt:lpstr>
      <vt:lpstr>Eingabe!Drucktitel</vt:lpstr>
      <vt:lpstr>'Eingabe-Beschrieb'!Drucktitel</vt:lpstr>
    </vt:vector>
  </TitlesOfParts>
  <Company>Stadt Zürich Amt für Hochbauten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Baukostenkennwerte</dc:title>
  <dc:creator>Hans Schlotterbeck</dc:creator>
  <dc:description>SCH/21.04.2009</dc:description>
  <cp:lastModifiedBy>Jenkinson Ian (AHB)</cp:lastModifiedBy>
  <cp:lastPrinted>2017-10-17T07:40:23Z</cp:lastPrinted>
  <dcterms:created xsi:type="dcterms:W3CDTF">1997-05-20T12:21:37Z</dcterms:created>
  <dcterms:modified xsi:type="dcterms:W3CDTF">2022-09-08T11:46:25Z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ITRef">
    <vt:lpwstr>1e8217a7-ee44-41d7-895a-b35895635f94</vt:lpwstr>
  </property>
  <property fmtid="{D5CDD505-2E9C-101B-9397-08002B2CF9AE}" pid="3" name="_NewReviewCycle">
    <vt:lpwstr/>
  </property>
  <property fmtid="{D5CDD505-2E9C-101B-9397-08002B2CF9AE}" pid="4" name="Unterregister">
    <vt:lpwstr>19.2 Kennwerte</vt:lpwstr>
  </property>
  <property fmtid="{D5CDD505-2E9C-101B-9397-08002B2CF9AE}" pid="5" name="Datum">
    <vt:lpwstr>2009-04-21T00:00:00Z</vt:lpwstr>
  </property>
  <property fmtid="{D5CDD505-2E9C-101B-9397-08002B2CF9AE}" pid="6" name="Register">
    <vt:lpwstr>19 Projektoekonomie</vt:lpwstr>
  </property>
  <property fmtid="{D5CDD505-2E9C-101B-9397-08002B2CF9AE}" pid="7" name="Dokumentenart">
    <vt:lpwstr>Tabelle</vt:lpwstr>
  </property>
  <property fmtid="{D5CDD505-2E9C-101B-9397-08002B2CF9AE}" pid="8" name="Eigner">
    <vt:lpwstr>28</vt:lpwstr>
  </property>
  <property fmtid="{D5CDD505-2E9C-101B-9397-08002B2CF9AE}" pid="9" name="Internet1">
    <vt:lpwstr>1</vt:lpwstr>
  </property>
  <property fmtid="{D5CDD505-2E9C-101B-9397-08002B2CF9AE}" pid="10" name="Prozess-Nr.">
    <vt:lpwstr>A21, P27</vt:lpwstr>
  </property>
  <property fmtid="{D5CDD505-2E9C-101B-9397-08002B2CF9AE}" pid="11" name="display_urn:schemas-microsoft-com:office:office#Eigner">
    <vt:lpwstr>Schlotterbeck Hans</vt:lpwstr>
  </property>
  <property fmtid="{D5CDD505-2E9C-101B-9397-08002B2CF9AE}" pid="12" name="DA">
    <vt:lpwstr>AHB</vt:lpwstr>
  </property>
  <property fmtid="{D5CDD505-2E9C-101B-9397-08002B2CF9AE}" pid="13" name="Nr.">
    <vt:lpwstr/>
  </property>
  <property fmtid="{D5CDD505-2E9C-101B-9397-08002B2CF9AE}" pid="14" name="Archivdauer">
    <vt:lpwstr>10</vt:lpwstr>
  </property>
  <property fmtid="{D5CDD505-2E9C-101B-9397-08002B2CF9AE}" pid="15" name="ContentType">
    <vt:lpwstr>Dokument</vt:lpwstr>
  </property>
  <property fmtid="{D5CDD505-2E9C-101B-9397-08002B2CF9AE}" pid="16" name="Archiv">
    <vt:lpwstr>0</vt:lpwstr>
  </property>
  <property fmtid="{D5CDD505-2E9C-101B-9397-08002B2CF9AE}" pid="17" name="Internet">
    <vt:lpwstr>http://www.stadt-zuerich.ch/internet/hbd/home/beraten/fachstellen/projektoekonomie.html, http://www.stadt-zuerich.ch/internet/hbd/home/beraten/fachstellen/projektoekonomie.html</vt:lpwstr>
  </property>
  <property fmtid="{D5CDD505-2E9C-101B-9397-08002B2CF9AE}" pid="18" name="Stichwort">
    <vt:lpwstr/>
  </property>
  <property fmtid="{D5CDD505-2E9C-101B-9397-08002B2CF9AE}" pid="19" name="Nr. neu">
    <vt:lpwstr>066</vt:lpwstr>
  </property>
  <property fmtid="{D5CDD505-2E9C-101B-9397-08002B2CF9AE}" pid="20" name="Order">
    <vt:lpwstr>20200.0000000000</vt:lpwstr>
  </property>
  <property fmtid="{D5CDD505-2E9C-101B-9397-08002B2CF9AE}" pid="21" name="Vorlage-Nr.">
    <vt:lpwstr>03.81</vt:lpwstr>
  </property>
  <property fmtid="{D5CDD505-2E9C-101B-9397-08002B2CF9AE}" pid="22" name="Ablage-Nr.">
    <vt:lpwstr/>
  </property>
  <property fmtid="{D5CDD505-2E9C-101B-9397-08002B2CF9AE}" pid="23" name="Intern">
    <vt:lpwstr>0</vt:lpwstr>
  </property>
  <property fmtid="{D5CDD505-2E9C-101B-9397-08002B2CF9AE}" pid="24" name="Subject">
    <vt:lpwstr/>
  </property>
  <property fmtid="{D5CDD505-2E9C-101B-9397-08002B2CF9AE}" pid="25" name="_Category">
    <vt:lpwstr/>
  </property>
  <property fmtid="{D5CDD505-2E9C-101B-9397-08002B2CF9AE}" pid="26" name="Categories">
    <vt:lpwstr/>
  </property>
  <property fmtid="{D5CDD505-2E9C-101B-9397-08002B2CF9AE}" pid="27" name="Approval Level">
    <vt:lpwstr/>
  </property>
  <property fmtid="{D5CDD505-2E9C-101B-9397-08002B2CF9AE}" pid="28" name="_Comments">
    <vt:lpwstr>SCH/30.10.07</vt:lpwstr>
  </property>
  <property fmtid="{D5CDD505-2E9C-101B-9397-08002B2CF9AE}" pid="29" name="Assigned To">
    <vt:lpwstr/>
  </property>
  <property fmtid="{D5CDD505-2E9C-101B-9397-08002B2CF9AE}" pid="30" name="Keywords">
    <vt:lpwstr/>
  </property>
  <property fmtid="{D5CDD505-2E9C-101B-9397-08002B2CF9AE}" pid="31" name="_Author">
    <vt:lpwstr>Hans Schlotterbeck</vt:lpwstr>
  </property>
</Properties>
</file>